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720" windowWidth="6375" windowHeight="7440" firstSheet="1" activeTab="3"/>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tiekyjel1" localSheetId="10">'Forma 9'!$C$74</definedName>
    <definedName name="VAS078_D_Vandentiekyjel1">'Forma 9'!$C$74</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tiekyjel1AtaskaitinisLaikotarpis" localSheetId="10">'Forma 9'!$E$74</definedName>
    <definedName name="VAS078_F_Vandentiekyjel1AtaskaitinisLaikotarpis">'Forma 9'!$E$74</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45621"/>
</workbook>
</file>

<file path=xl/calcChain.xml><?xml version="1.0" encoding="utf-8"?>
<calcChain xmlns="http://schemas.openxmlformats.org/spreadsheetml/2006/main">
  <c r="E190" i="12" l="1"/>
  <c r="E185" i="12" s="1"/>
  <c r="E144" i="12"/>
  <c r="E130" i="12"/>
  <c r="E129" i="12" s="1"/>
  <c r="E55" i="8" s="1"/>
  <c r="E54" i="8" s="1"/>
  <c r="E83" i="12"/>
  <c r="E69" i="12"/>
  <c r="E62" i="12"/>
  <c r="J133" i="11"/>
  <c r="F133" i="11"/>
  <c r="J132" i="11"/>
  <c r="F132" i="11"/>
  <c r="D132" i="11" s="1"/>
  <c r="J131" i="11"/>
  <c r="D131" i="11" s="1"/>
  <c r="F131" i="11"/>
  <c r="J130" i="11"/>
  <c r="F130" i="11"/>
  <c r="D130" i="11" s="1"/>
  <c r="J129" i="11"/>
  <c r="D129" i="11" s="1"/>
  <c r="F129" i="11"/>
  <c r="J128" i="11"/>
  <c r="F128" i="11"/>
  <c r="D128" i="11" s="1"/>
  <c r="J127" i="11"/>
  <c r="F127" i="11"/>
  <c r="D127" i="11"/>
  <c r="J126" i="11"/>
  <c r="F126" i="11"/>
  <c r="J125" i="11"/>
  <c r="F125" i="11"/>
  <c r="D125" i="11" s="1"/>
  <c r="J124" i="11"/>
  <c r="F124" i="11"/>
  <c r="J123" i="11"/>
  <c r="D123" i="11" s="1"/>
  <c r="F123" i="11"/>
  <c r="J122" i="11"/>
  <c r="F122" i="11"/>
  <c r="J121" i="11"/>
  <c r="D121" i="11" s="1"/>
  <c r="F121" i="11"/>
  <c r="J120" i="11"/>
  <c r="F120" i="11"/>
  <c r="J119" i="11"/>
  <c r="F119" i="11"/>
  <c r="D119" i="11"/>
  <c r="P117" i="11"/>
  <c r="O117" i="11"/>
  <c r="N117" i="11"/>
  <c r="M117" i="11"/>
  <c r="L117" i="11"/>
  <c r="K117" i="11"/>
  <c r="I117" i="11"/>
  <c r="I32" i="11" s="1"/>
  <c r="H117" i="11"/>
  <c r="G117" i="11"/>
  <c r="E117" i="11"/>
  <c r="E32" i="11" s="1"/>
  <c r="P116" i="11"/>
  <c r="O116" i="11"/>
  <c r="O31" i="11" s="1"/>
  <c r="N116" i="11"/>
  <c r="M116" i="11"/>
  <c r="L116" i="11"/>
  <c r="L114" i="11" s="1"/>
  <c r="K116" i="11"/>
  <c r="I116" i="11"/>
  <c r="H116" i="11"/>
  <c r="G116" i="11"/>
  <c r="E116" i="11"/>
  <c r="P115" i="11"/>
  <c r="O115" i="11"/>
  <c r="O30" i="11" s="1"/>
  <c r="N115" i="11"/>
  <c r="M115" i="11"/>
  <c r="L115" i="11"/>
  <c r="K115" i="11"/>
  <c r="I115" i="11"/>
  <c r="H115" i="11"/>
  <c r="G115" i="11"/>
  <c r="E115" i="11"/>
  <c r="P114" i="11"/>
  <c r="O114" i="11"/>
  <c r="N114" i="11"/>
  <c r="I114" i="11"/>
  <c r="H114" i="11"/>
  <c r="D114" i="11"/>
  <c r="P113" i="11"/>
  <c r="O113" i="11"/>
  <c r="N113" i="11"/>
  <c r="M113" i="11"/>
  <c r="L113" i="11"/>
  <c r="K113" i="11"/>
  <c r="J113" i="11"/>
  <c r="I113" i="11"/>
  <c r="H113" i="11"/>
  <c r="H28" i="11" s="1"/>
  <c r="G113" i="11"/>
  <c r="F113" i="11"/>
  <c r="E113" i="11"/>
  <c r="P112" i="11"/>
  <c r="O112" i="11"/>
  <c r="N112" i="11"/>
  <c r="M112" i="11"/>
  <c r="L112" i="11"/>
  <c r="K112" i="11"/>
  <c r="J112" i="11"/>
  <c r="I112" i="11"/>
  <c r="H112" i="11"/>
  <c r="G112" i="11"/>
  <c r="F112" i="11"/>
  <c r="E112" i="11"/>
  <c r="P111" i="11"/>
  <c r="O111" i="11"/>
  <c r="N111" i="11"/>
  <c r="M111" i="11"/>
  <c r="L111" i="11"/>
  <c r="K111" i="11"/>
  <c r="J111" i="11"/>
  <c r="I111" i="11"/>
  <c r="H111" i="11"/>
  <c r="G111" i="11"/>
  <c r="F111" i="11"/>
  <c r="E111" i="11"/>
  <c r="D111" i="11"/>
  <c r="P110" i="11"/>
  <c r="O110" i="11"/>
  <c r="N110" i="11"/>
  <c r="M110" i="11"/>
  <c r="L110" i="11"/>
  <c r="L108" i="11" s="1"/>
  <c r="K110" i="11"/>
  <c r="I110" i="11"/>
  <c r="H110" i="11"/>
  <c r="G110" i="11"/>
  <c r="E110" i="11"/>
  <c r="P109" i="11"/>
  <c r="O109" i="11"/>
  <c r="N109" i="11"/>
  <c r="N108" i="11" s="1"/>
  <c r="M109" i="11"/>
  <c r="L109" i="11"/>
  <c r="K109" i="11"/>
  <c r="K24" i="11" s="1"/>
  <c r="I109" i="11"/>
  <c r="H109" i="11"/>
  <c r="H108" i="11" s="1"/>
  <c r="G109" i="11"/>
  <c r="E109" i="11"/>
  <c r="P108" i="11"/>
  <c r="O108" i="11"/>
  <c r="E108" i="11"/>
  <c r="D108" i="11"/>
  <c r="P107" i="11"/>
  <c r="P21" i="11" s="1"/>
  <c r="O107" i="11"/>
  <c r="N107" i="11"/>
  <c r="N21" i="11" s="1"/>
  <c r="M107" i="11"/>
  <c r="M106" i="11" s="1"/>
  <c r="L107" i="11"/>
  <c r="L106" i="11" s="1"/>
  <c r="K107" i="11"/>
  <c r="I107" i="11"/>
  <c r="H107" i="11"/>
  <c r="F107" i="11" s="1"/>
  <c r="G107" i="11"/>
  <c r="E107" i="11"/>
  <c r="P106" i="11"/>
  <c r="O106" i="11"/>
  <c r="N106" i="11"/>
  <c r="K106" i="11"/>
  <c r="J106" i="11" s="1"/>
  <c r="I106" i="11"/>
  <c r="H106" i="11"/>
  <c r="F106" i="11" s="1"/>
  <c r="G106" i="11"/>
  <c r="E106" i="11"/>
  <c r="D106" i="11"/>
  <c r="P105" i="11"/>
  <c r="O105" i="11"/>
  <c r="N105" i="11"/>
  <c r="M105" i="11"/>
  <c r="M19" i="11" s="1"/>
  <c r="L105" i="11"/>
  <c r="L19" i="11" s="1"/>
  <c r="K105" i="11"/>
  <c r="I105" i="11"/>
  <c r="H105" i="11"/>
  <c r="G105" i="11"/>
  <c r="G19" i="11" s="1"/>
  <c r="E105" i="11"/>
  <c r="P104" i="11"/>
  <c r="O104" i="11"/>
  <c r="N104" i="11"/>
  <c r="N18" i="11" s="1"/>
  <c r="M104" i="11"/>
  <c r="L104" i="11"/>
  <c r="K104" i="11"/>
  <c r="I104" i="11"/>
  <c r="I18" i="11" s="1"/>
  <c r="H104" i="11"/>
  <c r="G104" i="11"/>
  <c r="E104" i="11"/>
  <c r="P103" i="11"/>
  <c r="P17" i="11" s="1"/>
  <c r="O103" i="11"/>
  <c r="N103" i="11"/>
  <c r="M103" i="11"/>
  <c r="L103" i="11"/>
  <c r="K103" i="11"/>
  <c r="I103" i="11"/>
  <c r="H103" i="11"/>
  <c r="H101" i="11" s="1"/>
  <c r="G103" i="11"/>
  <c r="G17" i="11" s="1"/>
  <c r="E103" i="11"/>
  <c r="P102" i="11"/>
  <c r="P16" i="11" s="1"/>
  <c r="O102" i="11"/>
  <c r="O101" i="11" s="1"/>
  <c r="N102" i="11"/>
  <c r="N16" i="11" s="1"/>
  <c r="M102" i="11"/>
  <c r="L102" i="11"/>
  <c r="K102" i="11"/>
  <c r="I102" i="11"/>
  <c r="I16" i="11" s="1"/>
  <c r="H102" i="11"/>
  <c r="G102" i="11"/>
  <c r="E102" i="11"/>
  <c r="P101" i="11"/>
  <c r="I101" i="11"/>
  <c r="D101" i="11"/>
  <c r="P100" i="11"/>
  <c r="O100" i="11"/>
  <c r="N100" i="11"/>
  <c r="M100" i="11"/>
  <c r="L100" i="11"/>
  <c r="K100" i="11"/>
  <c r="J100" i="11"/>
  <c r="I100" i="11"/>
  <c r="H100" i="11"/>
  <c r="F100" i="11" s="1"/>
  <c r="G100" i="11"/>
  <c r="E100" i="11"/>
  <c r="P99" i="11"/>
  <c r="O99" i="11"/>
  <c r="N99" i="11"/>
  <c r="M99" i="11"/>
  <c r="M13" i="11" s="1"/>
  <c r="L99" i="11"/>
  <c r="K99" i="11"/>
  <c r="I99" i="11"/>
  <c r="H99" i="11"/>
  <c r="H13" i="11" s="1"/>
  <c r="G99" i="11"/>
  <c r="E99" i="11"/>
  <c r="P98" i="11"/>
  <c r="O98" i="11"/>
  <c r="N98" i="11"/>
  <c r="M98" i="11"/>
  <c r="M97" i="11" s="1"/>
  <c r="L98" i="11"/>
  <c r="J98" i="11" s="1"/>
  <c r="K98" i="11"/>
  <c r="I98" i="11"/>
  <c r="H98" i="11"/>
  <c r="H12" i="11" s="1"/>
  <c r="G98" i="11"/>
  <c r="E98" i="11"/>
  <c r="P97" i="11"/>
  <c r="O97" i="11"/>
  <c r="N97" i="11"/>
  <c r="K97" i="11"/>
  <c r="I97" i="11"/>
  <c r="H97" i="11"/>
  <c r="F97" i="11" s="1"/>
  <c r="G97" i="11"/>
  <c r="E97" i="11"/>
  <c r="D97" i="11"/>
  <c r="J95" i="11"/>
  <c r="D95" i="11" s="1"/>
  <c r="F95" i="11"/>
  <c r="J94" i="11"/>
  <c r="F94" i="11"/>
  <c r="J93" i="11"/>
  <c r="F93" i="11"/>
  <c r="D93" i="11"/>
  <c r="J92" i="11"/>
  <c r="F92" i="11"/>
  <c r="J91" i="11"/>
  <c r="F91" i="11"/>
  <c r="D91" i="11" s="1"/>
  <c r="J90" i="11"/>
  <c r="F90" i="11"/>
  <c r="J89" i="11"/>
  <c r="D89" i="11" s="1"/>
  <c r="F89" i="11"/>
  <c r="J88" i="11"/>
  <c r="F88" i="11"/>
  <c r="J87" i="11"/>
  <c r="D87" i="11" s="1"/>
  <c r="F87" i="11"/>
  <c r="J86" i="11"/>
  <c r="F86" i="11"/>
  <c r="J85" i="11"/>
  <c r="D85" i="11" s="1"/>
  <c r="F85" i="11"/>
  <c r="J84" i="11"/>
  <c r="F84" i="11"/>
  <c r="D84" i="11" s="1"/>
  <c r="J83" i="11"/>
  <c r="F83" i="11"/>
  <c r="J82" i="11"/>
  <c r="F82" i="11"/>
  <c r="D82" i="11" s="1"/>
  <c r="J81" i="11"/>
  <c r="D81" i="11" s="1"/>
  <c r="F81" i="11"/>
  <c r="J80" i="11"/>
  <c r="F80" i="11"/>
  <c r="D80" i="11" s="1"/>
  <c r="P78" i="11"/>
  <c r="P32" i="11" s="1"/>
  <c r="O78" i="11"/>
  <c r="N78" i="11"/>
  <c r="M78" i="11"/>
  <c r="L78" i="11"/>
  <c r="K78" i="11"/>
  <c r="I78" i="11"/>
  <c r="H78" i="11"/>
  <c r="G78" i="11"/>
  <c r="E78" i="11"/>
  <c r="P77" i="11"/>
  <c r="O77" i="11"/>
  <c r="N77" i="11"/>
  <c r="N31" i="11" s="1"/>
  <c r="M77" i="11"/>
  <c r="L77" i="11"/>
  <c r="K77" i="11"/>
  <c r="K75" i="11" s="1"/>
  <c r="I77" i="11"/>
  <c r="I75" i="11" s="1"/>
  <c r="H77" i="11"/>
  <c r="G77" i="11"/>
  <c r="G31" i="11" s="1"/>
  <c r="E77" i="11"/>
  <c r="P76" i="11"/>
  <c r="O76" i="11"/>
  <c r="N76" i="11"/>
  <c r="M76" i="11"/>
  <c r="L76" i="11"/>
  <c r="K76" i="11"/>
  <c r="I76" i="11"/>
  <c r="I30" i="11" s="1"/>
  <c r="I29" i="11" s="1"/>
  <c r="H76" i="11"/>
  <c r="G76" i="11"/>
  <c r="G75" i="11" s="1"/>
  <c r="E76" i="11"/>
  <c r="O75" i="11"/>
  <c r="N75" i="11"/>
  <c r="M75" i="11"/>
  <c r="E75" i="11"/>
  <c r="D75" i="11"/>
  <c r="P74" i="11"/>
  <c r="O74" i="11"/>
  <c r="N74" i="11"/>
  <c r="M74" i="11"/>
  <c r="L74" i="11"/>
  <c r="L28" i="11" s="1"/>
  <c r="K74" i="11"/>
  <c r="K28" i="11" s="1"/>
  <c r="I74" i="11"/>
  <c r="I28" i="11" s="1"/>
  <c r="H74" i="11"/>
  <c r="G74" i="11"/>
  <c r="E74" i="11"/>
  <c r="E28" i="11" s="1"/>
  <c r="P73" i="11"/>
  <c r="P27" i="11" s="1"/>
  <c r="P26" i="11" s="1"/>
  <c r="O73" i="11"/>
  <c r="N73" i="11"/>
  <c r="N72" i="11" s="1"/>
  <c r="M73" i="11"/>
  <c r="L73" i="11"/>
  <c r="L27" i="11" s="1"/>
  <c r="K73" i="11"/>
  <c r="I73" i="11"/>
  <c r="H73" i="11"/>
  <c r="H72" i="11" s="1"/>
  <c r="G73" i="11"/>
  <c r="E73" i="11"/>
  <c r="L72" i="11"/>
  <c r="D72" i="11"/>
  <c r="P71" i="11"/>
  <c r="O71" i="11"/>
  <c r="N71" i="11"/>
  <c r="M71" i="11"/>
  <c r="M25" i="11" s="1"/>
  <c r="L71" i="11"/>
  <c r="K71" i="11"/>
  <c r="K69" i="11" s="1"/>
  <c r="I71" i="11"/>
  <c r="H71" i="11"/>
  <c r="G71" i="11"/>
  <c r="E71" i="11"/>
  <c r="P70" i="11"/>
  <c r="O70" i="11"/>
  <c r="N70" i="11"/>
  <c r="N69" i="11" s="1"/>
  <c r="M70" i="11"/>
  <c r="M69" i="11" s="1"/>
  <c r="L70" i="11"/>
  <c r="K70" i="11"/>
  <c r="I70" i="11"/>
  <c r="I69" i="11" s="1"/>
  <c r="H70" i="11"/>
  <c r="G70" i="11"/>
  <c r="E70" i="11"/>
  <c r="P69" i="11"/>
  <c r="O69" i="11"/>
  <c r="L69" i="11"/>
  <c r="G69" i="11"/>
  <c r="E69" i="11"/>
  <c r="D69" i="11"/>
  <c r="P68" i="11"/>
  <c r="O68" i="11"/>
  <c r="O22" i="11" s="1"/>
  <c r="N68" i="11"/>
  <c r="M68" i="11"/>
  <c r="M22" i="11" s="1"/>
  <c r="L68" i="11"/>
  <c r="K68" i="11"/>
  <c r="I68" i="11"/>
  <c r="H68" i="11"/>
  <c r="G68" i="11"/>
  <c r="E68" i="11"/>
  <c r="P67" i="11"/>
  <c r="O67" i="11"/>
  <c r="N67" i="11"/>
  <c r="M67" i="11"/>
  <c r="L67" i="11"/>
  <c r="K67" i="11"/>
  <c r="K21" i="11" s="1"/>
  <c r="I67" i="11"/>
  <c r="H67" i="11"/>
  <c r="H66" i="11" s="1"/>
  <c r="G67" i="11"/>
  <c r="E67" i="11"/>
  <c r="P66" i="11"/>
  <c r="N66" i="11"/>
  <c r="L66" i="11"/>
  <c r="I66" i="11"/>
  <c r="D66" i="11"/>
  <c r="P65" i="11"/>
  <c r="O65" i="11"/>
  <c r="N65" i="11"/>
  <c r="M65" i="11"/>
  <c r="L65" i="11"/>
  <c r="K65" i="11"/>
  <c r="I65" i="11"/>
  <c r="H65" i="11"/>
  <c r="G65" i="11"/>
  <c r="E65" i="11"/>
  <c r="P64" i="11"/>
  <c r="O64" i="11"/>
  <c r="N64" i="11"/>
  <c r="M64" i="11"/>
  <c r="L64" i="11"/>
  <c r="K64" i="11"/>
  <c r="I64" i="11"/>
  <c r="H64" i="11"/>
  <c r="G64" i="11"/>
  <c r="E64" i="11"/>
  <c r="P63" i="11"/>
  <c r="O63" i="11"/>
  <c r="O61" i="11" s="1"/>
  <c r="N63" i="11"/>
  <c r="M63" i="11"/>
  <c r="L63" i="11"/>
  <c r="K63" i="11"/>
  <c r="K61" i="11" s="1"/>
  <c r="I63" i="11"/>
  <c r="H63" i="11"/>
  <c r="G63" i="11"/>
  <c r="E63" i="11"/>
  <c r="P62" i="11"/>
  <c r="P61" i="11" s="1"/>
  <c r="O62" i="11"/>
  <c r="N62" i="11"/>
  <c r="M62" i="11"/>
  <c r="M61" i="11" s="1"/>
  <c r="L62" i="11"/>
  <c r="K62" i="11"/>
  <c r="I62" i="11"/>
  <c r="H62" i="11"/>
  <c r="G62" i="11"/>
  <c r="E62" i="11"/>
  <c r="E61" i="11"/>
  <c r="D61" i="11"/>
  <c r="D56" i="11" s="1"/>
  <c r="P60" i="11"/>
  <c r="O60" i="11"/>
  <c r="N60" i="11"/>
  <c r="M60" i="11"/>
  <c r="M14" i="11" s="1"/>
  <c r="L60" i="11"/>
  <c r="K60" i="11"/>
  <c r="I60" i="11"/>
  <c r="I14" i="11" s="1"/>
  <c r="H60" i="11"/>
  <c r="G60" i="11"/>
  <c r="G14" i="11" s="1"/>
  <c r="E60" i="11"/>
  <c r="P59" i="11"/>
  <c r="O59" i="11"/>
  <c r="O13" i="11" s="1"/>
  <c r="O11" i="11" s="1"/>
  <c r="N59" i="11"/>
  <c r="M59" i="11"/>
  <c r="L59" i="11"/>
  <c r="L13" i="11" s="1"/>
  <c r="K59" i="11"/>
  <c r="I59" i="11"/>
  <c r="I13" i="11" s="1"/>
  <c r="H59" i="11"/>
  <c r="G59" i="11"/>
  <c r="E59" i="11"/>
  <c r="P58" i="11"/>
  <c r="O58" i="11"/>
  <c r="N58" i="11"/>
  <c r="M58" i="11"/>
  <c r="L58" i="11"/>
  <c r="K58" i="11"/>
  <c r="I58" i="11"/>
  <c r="H58" i="11"/>
  <c r="G58" i="11"/>
  <c r="E58" i="11"/>
  <c r="P57" i="11"/>
  <c r="O57" i="11"/>
  <c r="N57" i="11"/>
  <c r="H57" i="11"/>
  <c r="D57" i="11"/>
  <c r="J55" i="11"/>
  <c r="F55" i="11"/>
  <c r="D55" i="11" s="1"/>
  <c r="J54" i="11"/>
  <c r="D54" i="11" s="1"/>
  <c r="F54" i="11"/>
  <c r="J53" i="11"/>
  <c r="F53" i="11"/>
  <c r="D53" i="11" s="1"/>
  <c r="P52" i="11"/>
  <c r="O52" i="11"/>
  <c r="N52" i="11"/>
  <c r="M52" i="11"/>
  <c r="L52" i="11"/>
  <c r="J52" i="11" s="1"/>
  <c r="K52" i="11"/>
  <c r="I52" i="11"/>
  <c r="H52" i="11"/>
  <c r="F52" i="11" s="1"/>
  <c r="G52" i="11"/>
  <c r="E52" i="11"/>
  <c r="D52" i="11"/>
  <c r="J51" i="11"/>
  <c r="F51" i="11"/>
  <c r="D51" i="11" s="1"/>
  <c r="J50" i="11"/>
  <c r="D50" i="11" s="1"/>
  <c r="F50" i="11"/>
  <c r="P49" i="11"/>
  <c r="O49" i="11"/>
  <c r="N49" i="11"/>
  <c r="M49" i="11"/>
  <c r="L49" i="11"/>
  <c r="K49" i="11"/>
  <c r="J49" i="11" s="1"/>
  <c r="I49" i="11"/>
  <c r="H49" i="11"/>
  <c r="G49" i="11"/>
  <c r="E49" i="11"/>
  <c r="J48" i="11"/>
  <c r="F48" i="11"/>
  <c r="J47" i="11"/>
  <c r="F47" i="11"/>
  <c r="P46" i="11"/>
  <c r="O46" i="11"/>
  <c r="N46" i="11"/>
  <c r="M46" i="11"/>
  <c r="M33" i="11" s="1"/>
  <c r="L46" i="11"/>
  <c r="J46" i="11" s="1"/>
  <c r="K46" i="11"/>
  <c r="I46" i="11"/>
  <c r="H46" i="11"/>
  <c r="G46" i="11"/>
  <c r="F46" i="11"/>
  <c r="E46" i="11"/>
  <c r="J45" i="11"/>
  <c r="F45" i="11"/>
  <c r="D45" i="11" s="1"/>
  <c r="J44" i="11"/>
  <c r="D44" i="11" s="1"/>
  <c r="F44" i="11"/>
  <c r="P43" i="11"/>
  <c r="O43" i="11"/>
  <c r="N43" i="11"/>
  <c r="M43" i="11"/>
  <c r="L43" i="11"/>
  <c r="K43" i="11"/>
  <c r="J43" i="11" s="1"/>
  <c r="I43" i="11"/>
  <c r="H43" i="11"/>
  <c r="G43" i="11"/>
  <c r="F43" i="11" s="1"/>
  <c r="E43" i="11"/>
  <c r="J42" i="11"/>
  <c r="F42" i="11"/>
  <c r="J41" i="11"/>
  <c r="F41" i="11"/>
  <c r="D41" i="11" s="1"/>
  <c r="J40" i="11"/>
  <c r="D40" i="11" s="1"/>
  <c r="F40" i="11"/>
  <c r="J39" i="11"/>
  <c r="F39" i="11"/>
  <c r="P38" i="11"/>
  <c r="O38" i="11"/>
  <c r="N38" i="11"/>
  <c r="N33" i="11" s="1"/>
  <c r="M38" i="11"/>
  <c r="L38" i="11"/>
  <c r="K38" i="11"/>
  <c r="I38" i="11"/>
  <c r="H38" i="11"/>
  <c r="G38" i="11"/>
  <c r="E38" i="11"/>
  <c r="J37" i="11"/>
  <c r="F37" i="11"/>
  <c r="D37" i="11" s="1"/>
  <c r="J36" i="11"/>
  <c r="F36" i="11"/>
  <c r="D36" i="11"/>
  <c r="J35" i="11"/>
  <c r="F35" i="11"/>
  <c r="D35" i="11" s="1"/>
  <c r="P34" i="11"/>
  <c r="P33" i="11" s="1"/>
  <c r="O34" i="11"/>
  <c r="N34" i="11"/>
  <c r="M34" i="11"/>
  <c r="L34" i="11"/>
  <c r="K34" i="11"/>
  <c r="I34" i="11"/>
  <c r="H34" i="11"/>
  <c r="G34" i="11"/>
  <c r="E34" i="11"/>
  <c r="E33" i="11"/>
  <c r="O32" i="11"/>
  <c r="N32" i="11"/>
  <c r="N29" i="11" s="1"/>
  <c r="K32" i="11"/>
  <c r="H32" i="11"/>
  <c r="G32" i="11"/>
  <c r="P31" i="11"/>
  <c r="M31" i="11"/>
  <c r="K31" i="11"/>
  <c r="I31" i="11"/>
  <c r="N30" i="11"/>
  <c r="E30" i="11"/>
  <c r="O29" i="11"/>
  <c r="P28" i="11"/>
  <c r="O28" i="11"/>
  <c r="M27" i="11"/>
  <c r="I27" i="11"/>
  <c r="I26" i="11" s="1"/>
  <c r="N25" i="11"/>
  <c r="P24" i="11"/>
  <c r="O24" i="11"/>
  <c r="P22" i="11"/>
  <c r="P20" i="11" s="1"/>
  <c r="N22" i="11"/>
  <c r="L22" i="11"/>
  <c r="I22" i="11"/>
  <c r="H22" i="11"/>
  <c r="E22" i="11"/>
  <c r="I21" i="11"/>
  <c r="G21" i="11"/>
  <c r="P19" i="11"/>
  <c r="O18" i="11"/>
  <c r="K18" i="11"/>
  <c r="E18" i="11"/>
  <c r="O17" i="11"/>
  <c r="M17" i="11"/>
  <c r="L17" i="11"/>
  <c r="K17" i="11"/>
  <c r="O16" i="11"/>
  <c r="K16" i="11"/>
  <c r="E16" i="11"/>
  <c r="P14" i="11"/>
  <c r="O14" i="11"/>
  <c r="N14" i="11"/>
  <c r="N11" i="11" s="1"/>
  <c r="L14" i="11"/>
  <c r="K14" i="11"/>
  <c r="H14" i="11"/>
  <c r="E14" i="11"/>
  <c r="P13" i="11"/>
  <c r="N13" i="11"/>
  <c r="G13" i="11"/>
  <c r="P12" i="11"/>
  <c r="P11" i="11" s="1"/>
  <c r="O12" i="11"/>
  <c r="N12" i="11"/>
  <c r="K12" i="11"/>
  <c r="I12" i="11"/>
  <c r="G12" i="11"/>
  <c r="E12" i="11"/>
  <c r="E80" i="10"/>
  <c r="E76" i="10"/>
  <c r="E69" i="10"/>
  <c r="E68" i="10"/>
  <c r="E62" i="10"/>
  <c r="E52" i="10"/>
  <c r="E49" i="10"/>
  <c r="E39" i="10"/>
  <c r="E38" i="10" s="1"/>
  <c r="E32" i="10"/>
  <c r="E30" i="10"/>
  <c r="E29" i="10"/>
  <c r="E28" i="10"/>
  <c r="E26" i="10"/>
  <c r="E17" i="10"/>
  <c r="E16" i="10" s="1"/>
  <c r="E25" i="10" s="1"/>
  <c r="E61" i="10" s="1"/>
  <c r="E34" i="9"/>
  <c r="E33" i="9" s="1"/>
  <c r="E32" i="9"/>
  <c r="E31" i="9"/>
  <c r="E17" i="9"/>
  <c r="E11" i="9" s="1"/>
  <c r="E10" i="9" s="1"/>
  <c r="E13" i="9"/>
  <c r="E53" i="8"/>
  <c r="E52" i="8"/>
  <c r="E51" i="8"/>
  <c r="E50" i="8" s="1"/>
  <c r="E49" i="8"/>
  <c r="E48" i="8"/>
  <c r="E47" i="8" s="1"/>
  <c r="E46" i="8"/>
  <c r="E45" i="8"/>
  <c r="E44" i="8"/>
  <c r="E36" i="8"/>
  <c r="E35" i="8"/>
  <c r="E34" i="8"/>
  <c r="E33" i="8"/>
  <c r="E31" i="8"/>
  <c r="E30" i="8"/>
  <c r="E29" i="8"/>
  <c r="E19" i="8"/>
  <c r="E11" i="8"/>
  <c r="J133" i="7"/>
  <c r="F133" i="7"/>
  <c r="J132" i="7"/>
  <c r="F132" i="7"/>
  <c r="J131" i="7"/>
  <c r="D131" i="7" s="1"/>
  <c r="F131" i="7"/>
  <c r="J130" i="7"/>
  <c r="F130" i="7"/>
  <c r="D130" i="7" s="1"/>
  <c r="J129" i="7"/>
  <c r="F129" i="7"/>
  <c r="D129" i="7" s="1"/>
  <c r="J128" i="7"/>
  <c r="F128" i="7"/>
  <c r="D128" i="7" s="1"/>
  <c r="J127" i="7"/>
  <c r="F127" i="7"/>
  <c r="D127" i="7"/>
  <c r="J126" i="7"/>
  <c r="F126" i="7"/>
  <c r="J125" i="7"/>
  <c r="F125" i="7"/>
  <c r="J124" i="7"/>
  <c r="F124" i="7"/>
  <c r="J123" i="7"/>
  <c r="F123" i="7"/>
  <c r="D123" i="7"/>
  <c r="J122" i="7"/>
  <c r="F122" i="7"/>
  <c r="D122" i="7" s="1"/>
  <c r="J121" i="7"/>
  <c r="F121" i="7"/>
  <c r="D121" i="7" s="1"/>
  <c r="J120" i="7"/>
  <c r="F120" i="7"/>
  <c r="D120" i="7" s="1"/>
  <c r="J119" i="7"/>
  <c r="F119" i="7"/>
  <c r="D119" i="7"/>
  <c r="P117" i="7"/>
  <c r="O117" i="7"/>
  <c r="N117" i="7"/>
  <c r="M117" i="7"/>
  <c r="L117" i="7"/>
  <c r="K117" i="7"/>
  <c r="I117" i="7"/>
  <c r="H117" i="7"/>
  <c r="G117" i="7"/>
  <c r="E117" i="7"/>
  <c r="P116" i="7"/>
  <c r="O116" i="7"/>
  <c r="N116" i="7"/>
  <c r="M116" i="7"/>
  <c r="L116" i="7"/>
  <c r="K116" i="7"/>
  <c r="I116" i="7"/>
  <c r="H116" i="7"/>
  <c r="G116" i="7"/>
  <c r="E116" i="7"/>
  <c r="P115" i="7"/>
  <c r="O115" i="7"/>
  <c r="N115" i="7"/>
  <c r="M115" i="7"/>
  <c r="L115" i="7"/>
  <c r="K115" i="7"/>
  <c r="I115" i="7"/>
  <c r="H115" i="7"/>
  <c r="H114" i="7" s="1"/>
  <c r="G115" i="7"/>
  <c r="E115" i="7"/>
  <c r="E114" i="7" s="1"/>
  <c r="P114" i="7"/>
  <c r="O114" i="7"/>
  <c r="N114" i="7"/>
  <c r="M114" i="7"/>
  <c r="L114" i="7"/>
  <c r="K114" i="7"/>
  <c r="G114" i="7"/>
  <c r="D114" i="7"/>
  <c r="P113" i="7"/>
  <c r="O113" i="7"/>
  <c r="N113" i="7"/>
  <c r="M113" i="7"/>
  <c r="L113" i="7"/>
  <c r="J113" i="7" s="1"/>
  <c r="K113" i="7"/>
  <c r="I113" i="7"/>
  <c r="H113" i="7"/>
  <c r="G113" i="7"/>
  <c r="F113" i="7" s="1"/>
  <c r="E113" i="7"/>
  <c r="P112" i="7"/>
  <c r="O112" i="7"/>
  <c r="N112" i="7"/>
  <c r="M112" i="7"/>
  <c r="M111" i="7" s="1"/>
  <c r="L112" i="7"/>
  <c r="K112" i="7"/>
  <c r="J112" i="7" s="1"/>
  <c r="I112" i="7"/>
  <c r="H112" i="7"/>
  <c r="G112" i="7"/>
  <c r="F112" i="7" s="1"/>
  <c r="E112" i="7"/>
  <c r="P111" i="7"/>
  <c r="O111" i="7"/>
  <c r="N111" i="7"/>
  <c r="I111" i="7"/>
  <c r="H111" i="7"/>
  <c r="G111" i="7"/>
  <c r="F111" i="7" s="1"/>
  <c r="E111" i="7"/>
  <c r="D111" i="7"/>
  <c r="P110" i="7"/>
  <c r="O110" i="7"/>
  <c r="N110" i="7"/>
  <c r="N25" i="7" s="1"/>
  <c r="M110" i="7"/>
  <c r="L110" i="7"/>
  <c r="K110" i="7"/>
  <c r="I110" i="7"/>
  <c r="I108" i="7" s="1"/>
  <c r="H110" i="7"/>
  <c r="G110" i="7"/>
  <c r="E110" i="7"/>
  <c r="E25" i="7" s="1"/>
  <c r="P109" i="7"/>
  <c r="O109" i="7"/>
  <c r="N109" i="7"/>
  <c r="M109" i="7"/>
  <c r="L109" i="7"/>
  <c r="L24" i="7" s="1"/>
  <c r="L23" i="7" s="1"/>
  <c r="K109" i="7"/>
  <c r="I109" i="7"/>
  <c r="H109" i="7"/>
  <c r="H108" i="7" s="1"/>
  <c r="G109" i="7"/>
  <c r="E109" i="7"/>
  <c r="P108" i="7"/>
  <c r="M108" i="7"/>
  <c r="L108" i="7"/>
  <c r="E108" i="7"/>
  <c r="D108" i="7"/>
  <c r="P107" i="7"/>
  <c r="P106" i="7" s="1"/>
  <c r="O107" i="7"/>
  <c r="N107" i="7"/>
  <c r="M107" i="7"/>
  <c r="M106" i="7" s="1"/>
  <c r="L107" i="7"/>
  <c r="K107" i="7"/>
  <c r="K21" i="7" s="1"/>
  <c r="I107" i="7"/>
  <c r="H107" i="7"/>
  <c r="G107" i="7"/>
  <c r="G106" i="7" s="1"/>
  <c r="E107" i="7"/>
  <c r="O106" i="7"/>
  <c r="N106" i="7"/>
  <c r="K106" i="7"/>
  <c r="I106" i="7"/>
  <c r="E106" i="7"/>
  <c r="D106" i="7"/>
  <c r="D96" i="7" s="1"/>
  <c r="P105" i="7"/>
  <c r="O105" i="7"/>
  <c r="O19" i="7" s="1"/>
  <c r="N105" i="7"/>
  <c r="M105" i="7"/>
  <c r="L105" i="7"/>
  <c r="L19" i="7" s="1"/>
  <c r="K105" i="7"/>
  <c r="I105" i="7"/>
  <c r="H105" i="7"/>
  <c r="G105" i="7"/>
  <c r="E105" i="7"/>
  <c r="E19" i="7" s="1"/>
  <c r="P104" i="7"/>
  <c r="O104" i="7"/>
  <c r="O18" i="7" s="1"/>
  <c r="N104" i="7"/>
  <c r="M104" i="7"/>
  <c r="L104" i="7"/>
  <c r="L18" i="7" s="1"/>
  <c r="K104" i="7"/>
  <c r="K18" i="7" s="1"/>
  <c r="I104" i="7"/>
  <c r="H104" i="7"/>
  <c r="G104" i="7"/>
  <c r="E104" i="7"/>
  <c r="E18" i="7" s="1"/>
  <c r="P103" i="7"/>
  <c r="O103" i="7"/>
  <c r="O17" i="7" s="1"/>
  <c r="N103" i="7"/>
  <c r="M103" i="7"/>
  <c r="L103" i="7"/>
  <c r="L17" i="7" s="1"/>
  <c r="K103" i="7"/>
  <c r="I103" i="7"/>
  <c r="H103" i="7"/>
  <c r="H17" i="7" s="1"/>
  <c r="G103" i="7"/>
  <c r="E103" i="7"/>
  <c r="P102" i="7"/>
  <c r="P101" i="7" s="1"/>
  <c r="O102" i="7"/>
  <c r="O101" i="7" s="1"/>
  <c r="N102" i="7"/>
  <c r="M102" i="7"/>
  <c r="L102" i="7"/>
  <c r="K102" i="7"/>
  <c r="K101" i="7" s="1"/>
  <c r="I102" i="7"/>
  <c r="H102" i="7"/>
  <c r="H16" i="7" s="1"/>
  <c r="G102" i="7"/>
  <c r="G101" i="7" s="1"/>
  <c r="E102" i="7"/>
  <c r="E101" i="7" s="1"/>
  <c r="N101" i="7"/>
  <c r="I101" i="7"/>
  <c r="D101" i="7"/>
  <c r="P100" i="7"/>
  <c r="O100" i="7"/>
  <c r="N100" i="7"/>
  <c r="M100" i="7"/>
  <c r="L100" i="7"/>
  <c r="J100" i="7" s="1"/>
  <c r="K100" i="7"/>
  <c r="I100" i="7"/>
  <c r="I14" i="7" s="1"/>
  <c r="H100" i="7"/>
  <c r="G100" i="7"/>
  <c r="F100" i="7" s="1"/>
  <c r="E100" i="7"/>
  <c r="P99" i="7"/>
  <c r="O99" i="7"/>
  <c r="N99" i="7"/>
  <c r="M99" i="7"/>
  <c r="L99" i="7"/>
  <c r="K99" i="7"/>
  <c r="J99" i="7" s="1"/>
  <c r="I99" i="7"/>
  <c r="I13" i="7" s="1"/>
  <c r="H99" i="7"/>
  <c r="G99" i="7"/>
  <c r="F99" i="7" s="1"/>
  <c r="E99" i="7"/>
  <c r="P98" i="7"/>
  <c r="O98" i="7"/>
  <c r="N98" i="7"/>
  <c r="M98" i="7"/>
  <c r="L98" i="7"/>
  <c r="L97" i="7" s="1"/>
  <c r="K98" i="7"/>
  <c r="J98" i="7"/>
  <c r="I98" i="7"/>
  <c r="H98" i="7"/>
  <c r="G98" i="7"/>
  <c r="F98" i="7" s="1"/>
  <c r="E98" i="7"/>
  <c r="P97" i="7"/>
  <c r="O97" i="7"/>
  <c r="N97" i="7"/>
  <c r="M97" i="7"/>
  <c r="I97" i="7"/>
  <c r="H97" i="7"/>
  <c r="G97" i="7"/>
  <c r="F97" i="7" s="1"/>
  <c r="E97" i="7"/>
  <c r="D97" i="7"/>
  <c r="J95" i="7"/>
  <c r="D95" i="7" s="1"/>
  <c r="F95" i="7"/>
  <c r="J94" i="7"/>
  <c r="F94" i="7"/>
  <c r="D94" i="7" s="1"/>
  <c r="J93" i="7"/>
  <c r="D93" i="7" s="1"/>
  <c r="F93" i="7"/>
  <c r="J92" i="7"/>
  <c r="F92" i="7"/>
  <c r="D92" i="7" s="1"/>
  <c r="J91" i="7"/>
  <c r="D91" i="7" s="1"/>
  <c r="F91" i="7"/>
  <c r="J90" i="7"/>
  <c r="F90" i="7"/>
  <c r="D90" i="7" s="1"/>
  <c r="J89" i="7"/>
  <c r="F89" i="7"/>
  <c r="D89" i="7"/>
  <c r="J88" i="7"/>
  <c r="F88" i="7"/>
  <c r="J87" i="7"/>
  <c r="F87" i="7"/>
  <c r="D87" i="7" s="1"/>
  <c r="J86" i="7"/>
  <c r="F86" i="7"/>
  <c r="J85" i="7"/>
  <c r="F85" i="7"/>
  <c r="D85" i="7"/>
  <c r="J84" i="7"/>
  <c r="F84" i="7"/>
  <c r="J83" i="7"/>
  <c r="F83" i="7"/>
  <c r="D83" i="7" s="1"/>
  <c r="J82" i="7"/>
  <c r="F82" i="7"/>
  <c r="J81" i="7"/>
  <c r="D81" i="7" s="1"/>
  <c r="F81" i="7"/>
  <c r="J80" i="7"/>
  <c r="F80" i="7"/>
  <c r="D80" i="7" s="1"/>
  <c r="P78" i="7"/>
  <c r="O78" i="7"/>
  <c r="N78" i="7"/>
  <c r="M78" i="7"/>
  <c r="L78" i="7"/>
  <c r="K78" i="7"/>
  <c r="K32" i="7" s="1"/>
  <c r="I78" i="7"/>
  <c r="I32" i="7" s="1"/>
  <c r="H78" i="7"/>
  <c r="G78" i="7"/>
  <c r="E78" i="7"/>
  <c r="P77" i="7"/>
  <c r="O77" i="7"/>
  <c r="N77" i="7"/>
  <c r="M77" i="7"/>
  <c r="L77" i="7"/>
  <c r="K77" i="7"/>
  <c r="J77" i="7" s="1"/>
  <c r="I77" i="7"/>
  <c r="H77" i="7"/>
  <c r="G77" i="7"/>
  <c r="G31" i="7" s="1"/>
  <c r="E77" i="7"/>
  <c r="P76" i="7"/>
  <c r="P75" i="7" s="1"/>
  <c r="O76" i="7"/>
  <c r="N76" i="7"/>
  <c r="M76" i="7"/>
  <c r="L76" i="7"/>
  <c r="L75" i="7" s="1"/>
  <c r="K76" i="7"/>
  <c r="K30" i="7" s="1"/>
  <c r="I76" i="7"/>
  <c r="I30" i="7" s="1"/>
  <c r="H76" i="7"/>
  <c r="G76" i="7"/>
  <c r="G30" i="7" s="1"/>
  <c r="E76" i="7"/>
  <c r="O75" i="7"/>
  <c r="N75" i="7"/>
  <c r="M75" i="7"/>
  <c r="I75" i="7"/>
  <c r="E75" i="7"/>
  <c r="D75" i="7"/>
  <c r="P74" i="7"/>
  <c r="P28" i="7" s="1"/>
  <c r="P26" i="7" s="1"/>
  <c r="O74" i="7"/>
  <c r="N74" i="7"/>
  <c r="N28" i="7" s="1"/>
  <c r="N26" i="7" s="1"/>
  <c r="M74" i="7"/>
  <c r="M28" i="7" s="1"/>
  <c r="L74" i="7"/>
  <c r="K74" i="7"/>
  <c r="I74" i="7"/>
  <c r="H74" i="7"/>
  <c r="G74" i="7"/>
  <c r="G28" i="7" s="1"/>
  <c r="E74" i="7"/>
  <c r="P73" i="7"/>
  <c r="O73" i="7"/>
  <c r="N73" i="7"/>
  <c r="M73" i="7"/>
  <c r="L73" i="7"/>
  <c r="L72" i="7" s="1"/>
  <c r="K73" i="7"/>
  <c r="K72" i="7" s="1"/>
  <c r="I73" i="7"/>
  <c r="F73" i="7" s="1"/>
  <c r="H73" i="7"/>
  <c r="G73" i="7"/>
  <c r="G27" i="7" s="1"/>
  <c r="E73" i="7"/>
  <c r="E72" i="7" s="1"/>
  <c r="P72" i="7"/>
  <c r="O72" i="7"/>
  <c r="N72" i="7"/>
  <c r="M72" i="7"/>
  <c r="H72" i="7"/>
  <c r="G72" i="7"/>
  <c r="D72" i="7"/>
  <c r="P71" i="7"/>
  <c r="O71" i="7"/>
  <c r="N71" i="7"/>
  <c r="M71" i="7"/>
  <c r="L71" i="7"/>
  <c r="K71" i="7"/>
  <c r="J71" i="7"/>
  <c r="I71" i="7"/>
  <c r="H71" i="7"/>
  <c r="H25" i="7" s="1"/>
  <c r="G71" i="7"/>
  <c r="F71" i="7"/>
  <c r="E71" i="7"/>
  <c r="P70" i="7"/>
  <c r="O70" i="7"/>
  <c r="N70" i="7"/>
  <c r="M70" i="7"/>
  <c r="L70" i="7"/>
  <c r="K70" i="7"/>
  <c r="K24" i="7" s="1"/>
  <c r="J70" i="7"/>
  <c r="I70" i="7"/>
  <c r="H70" i="7"/>
  <c r="G70" i="7"/>
  <c r="F70" i="7"/>
  <c r="E70" i="7"/>
  <c r="P69" i="7"/>
  <c r="O69" i="7"/>
  <c r="N69" i="7"/>
  <c r="M69" i="7"/>
  <c r="L69" i="7"/>
  <c r="I69" i="7"/>
  <c r="H69" i="7"/>
  <c r="G69" i="7"/>
  <c r="F69" i="7"/>
  <c r="E69" i="7"/>
  <c r="D69" i="7"/>
  <c r="P68" i="7"/>
  <c r="P22" i="7" s="1"/>
  <c r="P20" i="7" s="1"/>
  <c r="O68" i="7"/>
  <c r="O22" i="7" s="1"/>
  <c r="N68" i="7"/>
  <c r="M68" i="7"/>
  <c r="L68" i="7"/>
  <c r="L22" i="7" s="1"/>
  <c r="K68" i="7"/>
  <c r="J68" i="7" s="1"/>
  <c r="I68" i="7"/>
  <c r="H68" i="7"/>
  <c r="H22" i="7" s="1"/>
  <c r="G68" i="7"/>
  <c r="E68" i="7"/>
  <c r="E22" i="7" s="1"/>
  <c r="P67" i="7"/>
  <c r="O67" i="7"/>
  <c r="N67" i="7"/>
  <c r="N21" i="7" s="1"/>
  <c r="M67" i="7"/>
  <c r="M66" i="7" s="1"/>
  <c r="L67" i="7"/>
  <c r="L21" i="7" s="1"/>
  <c r="K67" i="7"/>
  <c r="I67" i="7"/>
  <c r="I21" i="7" s="1"/>
  <c r="H67" i="7"/>
  <c r="H66" i="7" s="1"/>
  <c r="G67" i="7"/>
  <c r="E67" i="7"/>
  <c r="P66" i="7"/>
  <c r="N66" i="7"/>
  <c r="D66" i="7"/>
  <c r="P65" i="7"/>
  <c r="O65" i="7"/>
  <c r="N65" i="7"/>
  <c r="M65" i="7"/>
  <c r="L65" i="7"/>
  <c r="K65" i="7"/>
  <c r="K19" i="7" s="1"/>
  <c r="I65" i="7"/>
  <c r="H65" i="7"/>
  <c r="G65" i="7"/>
  <c r="E65" i="7"/>
  <c r="P64" i="7"/>
  <c r="O64" i="7"/>
  <c r="N64" i="7"/>
  <c r="M64" i="7"/>
  <c r="L64" i="7"/>
  <c r="K64" i="7"/>
  <c r="I64" i="7"/>
  <c r="H64" i="7"/>
  <c r="G64" i="7"/>
  <c r="E64" i="7"/>
  <c r="P63" i="7"/>
  <c r="O63" i="7"/>
  <c r="N63" i="7"/>
  <c r="M63" i="7"/>
  <c r="L63" i="7"/>
  <c r="K63" i="7"/>
  <c r="K17" i="7" s="1"/>
  <c r="I63" i="7"/>
  <c r="H63" i="7"/>
  <c r="G63" i="7"/>
  <c r="E63" i="7"/>
  <c r="P62" i="7"/>
  <c r="P61" i="7" s="1"/>
  <c r="O62" i="7"/>
  <c r="O61" i="7" s="1"/>
  <c r="N62" i="7"/>
  <c r="M62" i="7"/>
  <c r="L62" i="7"/>
  <c r="L61" i="7" s="1"/>
  <c r="K62" i="7"/>
  <c r="I62" i="7"/>
  <c r="H62" i="7"/>
  <c r="G62" i="7"/>
  <c r="E62" i="7"/>
  <c r="E61" i="7" s="1"/>
  <c r="N61" i="7"/>
  <c r="M61" i="7"/>
  <c r="H61" i="7"/>
  <c r="D61" i="7"/>
  <c r="P60" i="7"/>
  <c r="O60" i="7"/>
  <c r="N60" i="7"/>
  <c r="M60" i="7"/>
  <c r="L60" i="7"/>
  <c r="K60" i="7"/>
  <c r="K14" i="7" s="1"/>
  <c r="I60" i="7"/>
  <c r="H60" i="7"/>
  <c r="G60" i="7"/>
  <c r="E60" i="7"/>
  <c r="P59" i="7"/>
  <c r="O59" i="7"/>
  <c r="N59" i="7"/>
  <c r="M59" i="7"/>
  <c r="L59" i="7"/>
  <c r="L13" i="7" s="1"/>
  <c r="K59" i="7"/>
  <c r="I59" i="7"/>
  <c r="H59" i="7"/>
  <c r="G59" i="7"/>
  <c r="E59" i="7"/>
  <c r="P58" i="7"/>
  <c r="O58" i="7"/>
  <c r="N58" i="7"/>
  <c r="M58" i="7"/>
  <c r="L58" i="7"/>
  <c r="K58" i="7"/>
  <c r="K57" i="7" s="1"/>
  <c r="I58" i="7"/>
  <c r="I57" i="7" s="1"/>
  <c r="H58" i="7"/>
  <c r="H57" i="7" s="1"/>
  <c r="G58" i="7"/>
  <c r="E58" i="7"/>
  <c r="E57" i="7" s="1"/>
  <c r="P57" i="7"/>
  <c r="O57" i="7"/>
  <c r="N57" i="7"/>
  <c r="M57" i="7"/>
  <c r="L57" i="7"/>
  <c r="G57" i="7"/>
  <c r="D57" i="7"/>
  <c r="J55" i="7"/>
  <c r="F55" i="7"/>
  <c r="D55" i="7" s="1"/>
  <c r="J54" i="7"/>
  <c r="F54" i="7"/>
  <c r="D54" i="7"/>
  <c r="J53" i="7"/>
  <c r="D53" i="7" s="1"/>
  <c r="F53" i="7"/>
  <c r="P52" i="7"/>
  <c r="O52" i="7"/>
  <c r="N52" i="7"/>
  <c r="M52" i="7"/>
  <c r="L52" i="7"/>
  <c r="K52" i="7"/>
  <c r="J52" i="7" s="1"/>
  <c r="I52" i="7"/>
  <c r="H52" i="7"/>
  <c r="G52" i="7"/>
  <c r="E52" i="7"/>
  <c r="J51" i="7"/>
  <c r="F51" i="7"/>
  <c r="D51" i="7" s="1"/>
  <c r="J50" i="7"/>
  <c r="F50" i="7"/>
  <c r="P49" i="7"/>
  <c r="O49" i="7"/>
  <c r="N49" i="7"/>
  <c r="M49" i="7"/>
  <c r="L49" i="7"/>
  <c r="K49" i="7"/>
  <c r="J49" i="7" s="1"/>
  <c r="I49" i="7"/>
  <c r="H49" i="7"/>
  <c r="G49" i="7"/>
  <c r="F49" i="7" s="1"/>
  <c r="E49" i="7"/>
  <c r="J48" i="7"/>
  <c r="F48" i="7"/>
  <c r="J47" i="7"/>
  <c r="F47" i="7"/>
  <c r="P46" i="7"/>
  <c r="O46" i="7"/>
  <c r="N46" i="7"/>
  <c r="M46" i="7"/>
  <c r="L46" i="7"/>
  <c r="J46" i="7" s="1"/>
  <c r="K46" i="7"/>
  <c r="I46" i="7"/>
  <c r="H46" i="7"/>
  <c r="G46" i="7"/>
  <c r="F46" i="7" s="1"/>
  <c r="E46" i="7"/>
  <c r="J45" i="7"/>
  <c r="F45" i="7"/>
  <c r="D45" i="7" s="1"/>
  <c r="J44" i="7"/>
  <c r="F44" i="7"/>
  <c r="P43" i="7"/>
  <c r="O43" i="7"/>
  <c r="O33" i="7" s="1"/>
  <c r="N43" i="7"/>
  <c r="M43" i="7"/>
  <c r="M33" i="7" s="1"/>
  <c r="L43" i="7"/>
  <c r="K43" i="7"/>
  <c r="I43" i="7"/>
  <c r="H43" i="7"/>
  <c r="G43" i="7"/>
  <c r="E43" i="7"/>
  <c r="J42" i="7"/>
  <c r="F42" i="7"/>
  <c r="D42" i="7" s="1"/>
  <c r="J41" i="7"/>
  <c r="F41" i="7"/>
  <c r="D41" i="7" s="1"/>
  <c r="J40" i="7"/>
  <c r="D40" i="7" s="1"/>
  <c r="F40" i="7"/>
  <c r="J39" i="7"/>
  <c r="F39" i="7"/>
  <c r="D39" i="7" s="1"/>
  <c r="P38" i="7"/>
  <c r="O38" i="7"/>
  <c r="N38" i="7"/>
  <c r="M38" i="7"/>
  <c r="L38" i="7"/>
  <c r="K38" i="7"/>
  <c r="J38" i="7" s="1"/>
  <c r="I38" i="7"/>
  <c r="H38" i="7"/>
  <c r="G38" i="7"/>
  <c r="G33" i="7" s="1"/>
  <c r="F38" i="7"/>
  <c r="E38" i="7"/>
  <c r="J37" i="7"/>
  <c r="F37" i="7"/>
  <c r="D37" i="7" s="1"/>
  <c r="J36" i="7"/>
  <c r="F36" i="7"/>
  <c r="D36" i="7"/>
  <c r="J35" i="7"/>
  <c r="F35" i="7"/>
  <c r="D35" i="7" s="1"/>
  <c r="P34" i="7"/>
  <c r="P33" i="7" s="1"/>
  <c r="O34" i="7"/>
  <c r="N34" i="7"/>
  <c r="N33" i="7" s="1"/>
  <c r="M34" i="7"/>
  <c r="L34" i="7"/>
  <c r="K34" i="7"/>
  <c r="I34" i="7"/>
  <c r="H34" i="7"/>
  <c r="G34" i="7"/>
  <c r="E34" i="7"/>
  <c r="I33" i="7"/>
  <c r="E33" i="7"/>
  <c r="P32" i="7"/>
  <c r="O32" i="7"/>
  <c r="N32" i="7"/>
  <c r="M32" i="7"/>
  <c r="G32" i="7"/>
  <c r="E32" i="7"/>
  <c r="P31" i="7"/>
  <c r="O31" i="7"/>
  <c r="O29" i="7" s="1"/>
  <c r="N31" i="7"/>
  <c r="M31" i="7"/>
  <c r="L31" i="7"/>
  <c r="K31" i="7"/>
  <c r="E31" i="7"/>
  <c r="P30" i="7"/>
  <c r="P29" i="7" s="1"/>
  <c r="O30" i="7"/>
  <c r="N30" i="7"/>
  <c r="N29" i="7" s="1"/>
  <c r="M30" i="7"/>
  <c r="E30" i="7"/>
  <c r="M29" i="7"/>
  <c r="E29" i="7"/>
  <c r="O28" i="7"/>
  <c r="K28" i="7"/>
  <c r="H28" i="7"/>
  <c r="E28" i="7"/>
  <c r="P27" i="7"/>
  <c r="O27" i="7"/>
  <c r="N27" i="7"/>
  <c r="L27" i="7"/>
  <c r="H27" i="7"/>
  <c r="H26" i="7" s="1"/>
  <c r="E27" i="7"/>
  <c r="P25" i="7"/>
  <c r="O25" i="7"/>
  <c r="O23" i="7" s="1"/>
  <c r="L25" i="7"/>
  <c r="K25" i="7"/>
  <c r="G25" i="7"/>
  <c r="P24" i="7"/>
  <c r="P23" i="7" s="1"/>
  <c r="O24" i="7"/>
  <c r="N24" i="7"/>
  <c r="M24" i="7"/>
  <c r="I24" i="7"/>
  <c r="E24" i="7"/>
  <c r="N22" i="7"/>
  <c r="M22" i="7"/>
  <c r="I22" i="7"/>
  <c r="P21" i="7"/>
  <c r="O21" i="7"/>
  <c r="E21" i="7"/>
  <c r="P19" i="7"/>
  <c r="N19" i="7"/>
  <c r="I19" i="7"/>
  <c r="P18" i="7"/>
  <c r="N18" i="7"/>
  <c r="H18" i="7"/>
  <c r="P17" i="7"/>
  <c r="N17" i="7"/>
  <c r="E17" i="7"/>
  <c r="N16" i="7"/>
  <c r="M16" i="7"/>
  <c r="E16" i="7"/>
  <c r="P14" i="7"/>
  <c r="O14" i="7"/>
  <c r="N14" i="7"/>
  <c r="M14" i="7"/>
  <c r="L14" i="7"/>
  <c r="H14" i="7"/>
  <c r="E14" i="7"/>
  <c r="P13" i="7"/>
  <c r="O13" i="7"/>
  <c r="O11" i="7" s="1"/>
  <c r="N13" i="7"/>
  <c r="K13" i="7"/>
  <c r="H13" i="7"/>
  <c r="E13" i="7"/>
  <c r="E11" i="7" s="1"/>
  <c r="P12" i="7"/>
  <c r="O12" i="7"/>
  <c r="N12" i="7"/>
  <c r="M12" i="7"/>
  <c r="I12" i="7"/>
  <c r="H12" i="7"/>
  <c r="G12" i="7"/>
  <c r="E12" i="7"/>
  <c r="N11" i="7"/>
  <c r="D11" i="6"/>
  <c r="D230" i="5"/>
  <c r="D213" i="5"/>
  <c r="D210" i="5"/>
  <c r="D206" i="5"/>
  <c r="D201" i="5"/>
  <c r="D194" i="5"/>
  <c r="D192" i="5"/>
  <c r="D189" i="5"/>
  <c r="D187" i="5"/>
  <c r="J185" i="5"/>
  <c r="F185" i="5"/>
  <c r="J184" i="5"/>
  <c r="F184" i="5"/>
  <c r="J183" i="5"/>
  <c r="D183" i="5" s="1"/>
  <c r="F183" i="5"/>
  <c r="J182" i="5"/>
  <c r="F182" i="5"/>
  <c r="J181" i="5"/>
  <c r="F181" i="5"/>
  <c r="D181" i="5"/>
  <c r="J180" i="5"/>
  <c r="F180" i="5"/>
  <c r="D180" i="5" s="1"/>
  <c r="J179" i="5"/>
  <c r="F179" i="5"/>
  <c r="J178" i="5"/>
  <c r="F178" i="5"/>
  <c r="D178" i="5" s="1"/>
  <c r="J177" i="5"/>
  <c r="F177" i="5"/>
  <c r="D177" i="5" s="1"/>
  <c r="J176" i="5"/>
  <c r="F176" i="5"/>
  <c r="D176" i="5" s="1"/>
  <c r="J175" i="5"/>
  <c r="F175" i="5"/>
  <c r="J174" i="5"/>
  <c r="F174" i="5"/>
  <c r="D174" i="5" s="1"/>
  <c r="J173" i="5"/>
  <c r="F173" i="5"/>
  <c r="J172" i="5"/>
  <c r="F172" i="5"/>
  <c r="D172" i="5" s="1"/>
  <c r="J171" i="5"/>
  <c r="F171" i="5"/>
  <c r="J170" i="5"/>
  <c r="F170" i="5"/>
  <c r="D170" i="5" s="1"/>
  <c r="J168" i="5"/>
  <c r="F168" i="5"/>
  <c r="D168" i="5"/>
  <c r="J167" i="5"/>
  <c r="F167" i="5"/>
  <c r="D167" i="5" s="1"/>
  <c r="J165" i="5"/>
  <c r="F165" i="5"/>
  <c r="J164" i="5"/>
  <c r="F164" i="5"/>
  <c r="D164" i="5" s="1"/>
  <c r="J163" i="5"/>
  <c r="F163" i="5"/>
  <c r="D163" i="5"/>
  <c r="J161" i="5"/>
  <c r="F161" i="5"/>
  <c r="J160" i="5"/>
  <c r="F160" i="5"/>
  <c r="J159" i="5"/>
  <c r="F159" i="5"/>
  <c r="J158" i="5"/>
  <c r="F158" i="5"/>
  <c r="J156" i="5"/>
  <c r="F156" i="5"/>
  <c r="D156" i="5" s="1"/>
  <c r="J155" i="5"/>
  <c r="F155" i="5"/>
  <c r="D155" i="5" s="1"/>
  <c r="J154" i="5"/>
  <c r="F154" i="5"/>
  <c r="J153" i="5"/>
  <c r="F153" i="5"/>
  <c r="F102" i="5" s="1"/>
  <c r="D153" i="5"/>
  <c r="J152" i="5"/>
  <c r="F152" i="5"/>
  <c r="J151" i="5"/>
  <c r="F151" i="5"/>
  <c r="F100" i="5" s="1"/>
  <c r="J149" i="5"/>
  <c r="F149" i="5"/>
  <c r="D149" i="5" s="1"/>
  <c r="J147" i="5"/>
  <c r="F147" i="5"/>
  <c r="J146" i="5"/>
  <c r="F146" i="5"/>
  <c r="J144" i="5"/>
  <c r="F144" i="5"/>
  <c r="D144" i="5"/>
  <c r="J143" i="5"/>
  <c r="F143" i="5"/>
  <c r="D143" i="5" s="1"/>
  <c r="P140" i="5"/>
  <c r="O140" i="5"/>
  <c r="N140" i="5"/>
  <c r="M140" i="5"/>
  <c r="L140" i="5"/>
  <c r="K140" i="5"/>
  <c r="I140" i="5"/>
  <c r="H140" i="5"/>
  <c r="G140" i="5"/>
  <c r="E140" i="5"/>
  <c r="P139" i="5"/>
  <c r="O139" i="5"/>
  <c r="N139" i="5"/>
  <c r="M139" i="5"/>
  <c r="L139" i="5"/>
  <c r="K139" i="5"/>
  <c r="I139" i="5"/>
  <c r="H139" i="5"/>
  <c r="G139" i="5"/>
  <c r="E139" i="5"/>
  <c r="P138" i="5"/>
  <c r="O138" i="5"/>
  <c r="N138" i="5"/>
  <c r="M138" i="5"/>
  <c r="L138" i="5"/>
  <c r="K138" i="5"/>
  <c r="I138" i="5"/>
  <c r="H138" i="5"/>
  <c r="G138" i="5"/>
  <c r="E138" i="5"/>
  <c r="P137" i="5"/>
  <c r="O137" i="5"/>
  <c r="N137" i="5"/>
  <c r="M137" i="5"/>
  <c r="L137" i="5"/>
  <c r="K137" i="5"/>
  <c r="I137" i="5"/>
  <c r="H137" i="5"/>
  <c r="G137" i="5"/>
  <c r="E137" i="5"/>
  <c r="P136" i="5"/>
  <c r="O136" i="5"/>
  <c r="N136" i="5"/>
  <c r="M136" i="5"/>
  <c r="M134" i="5" s="1"/>
  <c r="L136" i="5"/>
  <c r="K136" i="5"/>
  <c r="I136" i="5"/>
  <c r="H136" i="5"/>
  <c r="G136" i="5"/>
  <c r="E136" i="5"/>
  <c r="P135" i="5"/>
  <c r="P134" i="5" s="1"/>
  <c r="O135" i="5"/>
  <c r="O134" i="5" s="1"/>
  <c r="N135" i="5"/>
  <c r="M135" i="5"/>
  <c r="L135" i="5"/>
  <c r="K135" i="5"/>
  <c r="I135" i="5"/>
  <c r="H135" i="5"/>
  <c r="G135" i="5"/>
  <c r="E135" i="5"/>
  <c r="E134" i="5" s="1"/>
  <c r="N134" i="5"/>
  <c r="D134" i="5"/>
  <c r="P133" i="5"/>
  <c r="O133" i="5"/>
  <c r="N133" i="5"/>
  <c r="M133" i="5"/>
  <c r="L133" i="5"/>
  <c r="K133" i="5"/>
  <c r="I133" i="5"/>
  <c r="H133" i="5"/>
  <c r="G133" i="5"/>
  <c r="E133" i="5"/>
  <c r="P132" i="5"/>
  <c r="O132" i="5"/>
  <c r="N132" i="5"/>
  <c r="M132" i="5"/>
  <c r="L132" i="5"/>
  <c r="K132" i="5"/>
  <c r="I132" i="5"/>
  <c r="H132" i="5"/>
  <c r="G132" i="5"/>
  <c r="E132" i="5"/>
  <c r="P131" i="5"/>
  <c r="O131" i="5"/>
  <c r="N131" i="5"/>
  <c r="M131" i="5"/>
  <c r="L131" i="5"/>
  <c r="K131" i="5"/>
  <c r="I131" i="5"/>
  <c r="H131" i="5"/>
  <c r="G131" i="5"/>
  <c r="E131" i="5"/>
  <c r="P130" i="5"/>
  <c r="O130" i="5"/>
  <c r="N130" i="5"/>
  <c r="M130" i="5"/>
  <c r="L130" i="5"/>
  <c r="K130" i="5"/>
  <c r="I130" i="5"/>
  <c r="H130" i="5"/>
  <c r="G130" i="5"/>
  <c r="E130" i="5"/>
  <c r="P129" i="5"/>
  <c r="O129" i="5"/>
  <c r="N129" i="5"/>
  <c r="M129" i="5"/>
  <c r="L129" i="5"/>
  <c r="K129" i="5"/>
  <c r="I129" i="5"/>
  <c r="H129" i="5"/>
  <c r="G129" i="5"/>
  <c r="E129" i="5"/>
  <c r="P128" i="5"/>
  <c r="O128" i="5"/>
  <c r="N128" i="5"/>
  <c r="M128" i="5"/>
  <c r="L128" i="5"/>
  <c r="K128" i="5"/>
  <c r="I128" i="5"/>
  <c r="H128" i="5"/>
  <c r="G128" i="5"/>
  <c r="E128" i="5"/>
  <c r="P127" i="5"/>
  <c r="O127" i="5"/>
  <c r="N127" i="5"/>
  <c r="M127" i="5"/>
  <c r="L127" i="5"/>
  <c r="K127" i="5"/>
  <c r="I127" i="5"/>
  <c r="H127" i="5"/>
  <c r="G127" i="5"/>
  <c r="E127" i="5"/>
  <c r="P126" i="5"/>
  <c r="O126" i="5"/>
  <c r="N126" i="5"/>
  <c r="M126" i="5"/>
  <c r="L126" i="5"/>
  <c r="K126" i="5"/>
  <c r="I126" i="5"/>
  <c r="H126" i="5"/>
  <c r="G126" i="5"/>
  <c r="E126" i="5"/>
  <c r="P125" i="5"/>
  <c r="O125" i="5"/>
  <c r="N125" i="5"/>
  <c r="M125" i="5"/>
  <c r="L125" i="5"/>
  <c r="K125" i="5"/>
  <c r="I125" i="5"/>
  <c r="H125" i="5"/>
  <c r="G125" i="5"/>
  <c r="E125" i="5"/>
  <c r="P124" i="5"/>
  <c r="O124" i="5"/>
  <c r="N124" i="5"/>
  <c r="M124" i="5"/>
  <c r="L124" i="5"/>
  <c r="K124" i="5"/>
  <c r="I124" i="5"/>
  <c r="H124" i="5"/>
  <c r="G124" i="5"/>
  <c r="E124" i="5"/>
  <c r="P123" i="5"/>
  <c r="O123" i="5"/>
  <c r="N123" i="5"/>
  <c r="M123" i="5"/>
  <c r="L123" i="5"/>
  <c r="K123" i="5"/>
  <c r="I123" i="5"/>
  <c r="H123" i="5"/>
  <c r="G123" i="5"/>
  <c r="E123" i="5"/>
  <c r="P122" i="5"/>
  <c r="O122" i="5"/>
  <c r="N122" i="5"/>
  <c r="M122" i="5"/>
  <c r="L122" i="5"/>
  <c r="K122" i="5"/>
  <c r="I122" i="5"/>
  <c r="I118" i="5" s="1"/>
  <c r="H122" i="5"/>
  <c r="G122" i="5"/>
  <c r="E122" i="5"/>
  <c r="P121" i="5"/>
  <c r="O121" i="5"/>
  <c r="N121" i="5"/>
  <c r="M121" i="5"/>
  <c r="L121" i="5"/>
  <c r="K121" i="5"/>
  <c r="I121" i="5"/>
  <c r="H121" i="5"/>
  <c r="G121" i="5"/>
  <c r="E121" i="5"/>
  <c r="P120" i="5"/>
  <c r="O120" i="5"/>
  <c r="N120" i="5"/>
  <c r="M120" i="5"/>
  <c r="L120" i="5"/>
  <c r="K120" i="5"/>
  <c r="I120" i="5"/>
  <c r="H120" i="5"/>
  <c r="G120" i="5"/>
  <c r="E120" i="5"/>
  <c r="P119" i="5"/>
  <c r="P118" i="5" s="1"/>
  <c r="O119" i="5"/>
  <c r="N119" i="5"/>
  <c r="M119" i="5"/>
  <c r="L119" i="5"/>
  <c r="K119" i="5"/>
  <c r="I119" i="5"/>
  <c r="H119" i="5"/>
  <c r="G119" i="5"/>
  <c r="E119" i="5"/>
  <c r="O118" i="5"/>
  <c r="N118" i="5"/>
  <c r="K118" i="5"/>
  <c r="D118" i="5"/>
  <c r="P117" i="5"/>
  <c r="O117" i="5"/>
  <c r="N117" i="5"/>
  <c r="M117" i="5"/>
  <c r="L117" i="5"/>
  <c r="K117" i="5"/>
  <c r="J117" i="5"/>
  <c r="I117" i="5"/>
  <c r="H117" i="5"/>
  <c r="G117" i="5"/>
  <c r="F117" i="5"/>
  <c r="E117" i="5"/>
  <c r="P116" i="5"/>
  <c r="O116" i="5"/>
  <c r="N116" i="5"/>
  <c r="M116" i="5"/>
  <c r="L116" i="5"/>
  <c r="K116" i="5"/>
  <c r="J116" i="5"/>
  <c r="I116" i="5"/>
  <c r="H116" i="5"/>
  <c r="G116" i="5"/>
  <c r="F116" i="5"/>
  <c r="E116" i="5"/>
  <c r="P115" i="5"/>
  <c r="O115" i="5"/>
  <c r="N115" i="5"/>
  <c r="M115" i="5"/>
  <c r="L115" i="5"/>
  <c r="K115" i="5"/>
  <c r="J115" i="5"/>
  <c r="I115" i="5"/>
  <c r="H115" i="5"/>
  <c r="G115" i="5"/>
  <c r="F115" i="5"/>
  <c r="E115" i="5"/>
  <c r="D115" i="5"/>
  <c r="P114" i="5"/>
  <c r="O114" i="5"/>
  <c r="N114" i="5"/>
  <c r="M114" i="5"/>
  <c r="L114" i="5"/>
  <c r="K114" i="5"/>
  <c r="I114" i="5"/>
  <c r="H114" i="5"/>
  <c r="G114" i="5"/>
  <c r="G111" i="5" s="1"/>
  <c r="E114" i="5"/>
  <c r="P113" i="5"/>
  <c r="O113" i="5"/>
  <c r="N113" i="5"/>
  <c r="M113" i="5"/>
  <c r="L113" i="5"/>
  <c r="K113" i="5"/>
  <c r="I113" i="5"/>
  <c r="H113" i="5"/>
  <c r="F113" i="5" s="1"/>
  <c r="G113" i="5"/>
  <c r="E113" i="5"/>
  <c r="P112" i="5"/>
  <c r="O112" i="5"/>
  <c r="N112" i="5"/>
  <c r="M112" i="5"/>
  <c r="L112" i="5"/>
  <c r="K112" i="5"/>
  <c r="I112" i="5"/>
  <c r="H112" i="5"/>
  <c r="F112" i="5" s="1"/>
  <c r="G112" i="5"/>
  <c r="E112" i="5"/>
  <c r="P111" i="5"/>
  <c r="N111" i="5"/>
  <c r="L111" i="5"/>
  <c r="D111" i="5"/>
  <c r="P110" i="5"/>
  <c r="O110" i="5"/>
  <c r="N110" i="5"/>
  <c r="M110" i="5"/>
  <c r="L110" i="5"/>
  <c r="K110" i="5"/>
  <c r="I110" i="5"/>
  <c r="H110" i="5"/>
  <c r="G110" i="5"/>
  <c r="E110" i="5"/>
  <c r="P109" i="5"/>
  <c r="O109" i="5"/>
  <c r="N109" i="5"/>
  <c r="M109" i="5"/>
  <c r="L109" i="5"/>
  <c r="K109" i="5"/>
  <c r="I109" i="5"/>
  <c r="H109" i="5"/>
  <c r="G109" i="5"/>
  <c r="E109" i="5"/>
  <c r="P108" i="5"/>
  <c r="O108" i="5"/>
  <c r="N108" i="5"/>
  <c r="M108" i="5"/>
  <c r="M106" i="5" s="1"/>
  <c r="L108" i="5"/>
  <c r="K108" i="5"/>
  <c r="I108" i="5"/>
  <c r="H108" i="5"/>
  <c r="G108" i="5"/>
  <c r="E108" i="5"/>
  <c r="P107" i="5"/>
  <c r="P106" i="5" s="1"/>
  <c r="O107" i="5"/>
  <c r="O106" i="5" s="1"/>
  <c r="N107" i="5"/>
  <c r="M107" i="5"/>
  <c r="L107" i="5"/>
  <c r="K107" i="5"/>
  <c r="I107" i="5"/>
  <c r="H107" i="5"/>
  <c r="G107" i="5"/>
  <c r="E107" i="5"/>
  <c r="N106" i="5"/>
  <c r="D106" i="5"/>
  <c r="P105" i="5"/>
  <c r="O105" i="5"/>
  <c r="N105" i="5"/>
  <c r="M105" i="5"/>
  <c r="L105" i="5"/>
  <c r="K105" i="5"/>
  <c r="I105" i="5"/>
  <c r="H105" i="5"/>
  <c r="G105" i="5"/>
  <c r="E105" i="5"/>
  <c r="P104" i="5"/>
  <c r="O104" i="5"/>
  <c r="N104" i="5"/>
  <c r="M104" i="5"/>
  <c r="L104" i="5"/>
  <c r="K104" i="5"/>
  <c r="J104" i="5" s="1"/>
  <c r="I104" i="5"/>
  <c r="H104" i="5"/>
  <c r="G104" i="5"/>
  <c r="E104" i="5"/>
  <c r="P103" i="5"/>
  <c r="O103" i="5"/>
  <c r="N103" i="5"/>
  <c r="M103" i="5"/>
  <c r="L103" i="5"/>
  <c r="K103" i="5"/>
  <c r="J103" i="5" s="1"/>
  <c r="I103" i="5"/>
  <c r="H103" i="5"/>
  <c r="G103" i="5"/>
  <c r="F103" i="5"/>
  <c r="E103" i="5"/>
  <c r="P102" i="5"/>
  <c r="O102" i="5"/>
  <c r="N102" i="5"/>
  <c r="M102" i="5"/>
  <c r="L102" i="5"/>
  <c r="K102" i="5"/>
  <c r="J102" i="5" s="1"/>
  <c r="I102" i="5"/>
  <c r="H102" i="5"/>
  <c r="G102" i="5"/>
  <c r="E102" i="5"/>
  <c r="P101" i="5"/>
  <c r="O101" i="5"/>
  <c r="N101" i="5"/>
  <c r="M101" i="5"/>
  <c r="L101" i="5"/>
  <c r="K101" i="5"/>
  <c r="J101" i="5"/>
  <c r="I101" i="5"/>
  <c r="H101" i="5"/>
  <c r="G101" i="5"/>
  <c r="F101" i="5"/>
  <c r="E101" i="5"/>
  <c r="P100" i="5"/>
  <c r="O100" i="5"/>
  <c r="N100" i="5"/>
  <c r="M100" i="5"/>
  <c r="L100" i="5"/>
  <c r="K100" i="5"/>
  <c r="J100" i="5" s="1"/>
  <c r="I100" i="5"/>
  <c r="H100" i="5"/>
  <c r="G100" i="5"/>
  <c r="G99" i="5" s="1"/>
  <c r="E100" i="5"/>
  <c r="P99" i="5"/>
  <c r="O99" i="5"/>
  <c r="N99" i="5"/>
  <c r="M99" i="5"/>
  <c r="E99" i="5"/>
  <c r="D99" i="5"/>
  <c r="P98" i="5"/>
  <c r="O98" i="5"/>
  <c r="N98" i="5"/>
  <c r="M98" i="5"/>
  <c r="L98" i="5"/>
  <c r="K98" i="5"/>
  <c r="J98" i="5" s="1"/>
  <c r="I98" i="5"/>
  <c r="H98" i="5"/>
  <c r="G98" i="5"/>
  <c r="E98" i="5"/>
  <c r="P97" i="5"/>
  <c r="O97" i="5"/>
  <c r="N97" i="5"/>
  <c r="M97" i="5"/>
  <c r="L97" i="5"/>
  <c r="K97" i="5"/>
  <c r="J97" i="5" s="1"/>
  <c r="I97" i="5"/>
  <c r="H97" i="5"/>
  <c r="G97" i="5"/>
  <c r="F97" i="5" s="1"/>
  <c r="E97" i="5"/>
  <c r="D97" i="5"/>
  <c r="P96" i="5"/>
  <c r="O96" i="5"/>
  <c r="N96" i="5"/>
  <c r="M96" i="5"/>
  <c r="L96" i="5"/>
  <c r="K96" i="5"/>
  <c r="I96" i="5"/>
  <c r="H96" i="5"/>
  <c r="G96" i="5"/>
  <c r="G94" i="5" s="1"/>
  <c r="E96" i="5"/>
  <c r="P95" i="5"/>
  <c r="O95" i="5"/>
  <c r="N95" i="5"/>
  <c r="N94" i="5" s="1"/>
  <c r="M95" i="5"/>
  <c r="L95" i="5"/>
  <c r="K95" i="5"/>
  <c r="I95" i="5"/>
  <c r="H95" i="5"/>
  <c r="G95" i="5"/>
  <c r="E95" i="5"/>
  <c r="E94" i="5" s="1"/>
  <c r="O94" i="5"/>
  <c r="D94" i="5"/>
  <c r="P93" i="5"/>
  <c r="O93" i="5"/>
  <c r="N93" i="5"/>
  <c r="M93" i="5"/>
  <c r="M91" i="5" s="1"/>
  <c r="L93" i="5"/>
  <c r="K93" i="5"/>
  <c r="I93" i="5"/>
  <c r="H93" i="5"/>
  <c r="G93" i="5"/>
  <c r="E93" i="5"/>
  <c r="P92" i="5"/>
  <c r="P91" i="5" s="1"/>
  <c r="P13" i="5" s="1"/>
  <c r="O92" i="5"/>
  <c r="O91" i="5" s="1"/>
  <c r="N92" i="5"/>
  <c r="M92" i="5"/>
  <c r="L92" i="5"/>
  <c r="L14" i="5" s="1"/>
  <c r="K92" i="5"/>
  <c r="J92" i="5" s="1"/>
  <c r="I92" i="5"/>
  <c r="H92" i="5"/>
  <c r="G92" i="5"/>
  <c r="G91" i="5" s="1"/>
  <c r="E92" i="5"/>
  <c r="E28" i="5" s="1"/>
  <c r="L91" i="5"/>
  <c r="H91" i="5"/>
  <c r="D91" i="5"/>
  <c r="J89" i="5"/>
  <c r="F89" i="5"/>
  <c r="D89" i="5" s="1"/>
  <c r="J88" i="5"/>
  <c r="D88" i="5" s="1"/>
  <c r="F88" i="5"/>
  <c r="J87" i="5"/>
  <c r="F87" i="5"/>
  <c r="J86" i="5"/>
  <c r="F86" i="5"/>
  <c r="J85" i="5"/>
  <c r="F85" i="5"/>
  <c r="J84" i="5"/>
  <c r="F84" i="5"/>
  <c r="D84" i="5"/>
  <c r="J83" i="5"/>
  <c r="F83" i="5"/>
  <c r="D83" i="5" s="1"/>
  <c r="P82" i="5"/>
  <c r="O82" i="5"/>
  <c r="N82" i="5"/>
  <c r="M82" i="5"/>
  <c r="L82" i="5"/>
  <c r="K82" i="5"/>
  <c r="I82" i="5"/>
  <c r="H82" i="5"/>
  <c r="G82" i="5"/>
  <c r="E82" i="5"/>
  <c r="J81" i="5"/>
  <c r="F81" i="5"/>
  <c r="D81" i="5" s="1"/>
  <c r="J80" i="5"/>
  <c r="F80" i="5"/>
  <c r="J79" i="5"/>
  <c r="F79" i="5"/>
  <c r="D79" i="5" s="1"/>
  <c r="J78" i="5"/>
  <c r="F78" i="5"/>
  <c r="D78" i="5" s="1"/>
  <c r="J77" i="5"/>
  <c r="F77" i="5"/>
  <c r="D77" i="5" s="1"/>
  <c r="J76" i="5"/>
  <c r="D76" i="5" s="1"/>
  <c r="F76" i="5"/>
  <c r="J75" i="5"/>
  <c r="F75" i="5"/>
  <c r="D75" i="5" s="1"/>
  <c r="J74" i="5"/>
  <c r="F74" i="5"/>
  <c r="D74" i="5"/>
  <c r="J73" i="5"/>
  <c r="F73" i="5"/>
  <c r="J72" i="5"/>
  <c r="F72" i="5"/>
  <c r="J71" i="5"/>
  <c r="F71" i="5"/>
  <c r="J70" i="5"/>
  <c r="F70" i="5"/>
  <c r="J69" i="5"/>
  <c r="F69" i="5"/>
  <c r="J68" i="5"/>
  <c r="D68" i="5" s="1"/>
  <c r="F68" i="5"/>
  <c r="J67" i="5"/>
  <c r="F67" i="5"/>
  <c r="P66" i="5"/>
  <c r="O66" i="5"/>
  <c r="N66" i="5"/>
  <c r="M66" i="5"/>
  <c r="L66" i="5"/>
  <c r="K66" i="5"/>
  <c r="J66" i="5"/>
  <c r="I66" i="5"/>
  <c r="H66" i="5"/>
  <c r="F66" i="5" s="1"/>
  <c r="G66" i="5"/>
  <c r="E66" i="5"/>
  <c r="J65" i="5"/>
  <c r="F65" i="5"/>
  <c r="D65" i="5" s="1"/>
  <c r="J64" i="5"/>
  <c r="F64" i="5"/>
  <c r="D64" i="5"/>
  <c r="P63" i="5"/>
  <c r="O63" i="5"/>
  <c r="N63" i="5"/>
  <c r="M63" i="5"/>
  <c r="L63" i="5"/>
  <c r="K63" i="5"/>
  <c r="I63" i="5"/>
  <c r="H63" i="5"/>
  <c r="G63" i="5"/>
  <c r="F63" i="5" s="1"/>
  <c r="E63" i="5"/>
  <c r="J62" i="5"/>
  <c r="D62" i="5" s="1"/>
  <c r="F62" i="5"/>
  <c r="J61" i="5"/>
  <c r="F61" i="5"/>
  <c r="D61" i="5" s="1"/>
  <c r="J60" i="5"/>
  <c r="D60" i="5" s="1"/>
  <c r="F60" i="5"/>
  <c r="J59" i="5"/>
  <c r="F59" i="5"/>
  <c r="D59" i="5" s="1"/>
  <c r="J58" i="5"/>
  <c r="D58" i="5" s="1"/>
  <c r="F58" i="5"/>
  <c r="P57" i="5"/>
  <c r="O57" i="5"/>
  <c r="N57" i="5"/>
  <c r="M57" i="5"/>
  <c r="L57" i="5"/>
  <c r="K57" i="5"/>
  <c r="I57" i="5"/>
  <c r="H57" i="5"/>
  <c r="G57" i="5"/>
  <c r="E57" i="5"/>
  <c r="J56" i="5"/>
  <c r="F56" i="5"/>
  <c r="D56" i="5" s="1"/>
  <c r="J55" i="5"/>
  <c r="F55" i="5"/>
  <c r="J54" i="5"/>
  <c r="D54" i="5" s="1"/>
  <c r="F54" i="5"/>
  <c r="J53" i="5"/>
  <c r="E30" i="9" s="1"/>
  <c r="E29" i="9" s="1"/>
  <c r="F53" i="5"/>
  <c r="P52" i="5"/>
  <c r="O52" i="5"/>
  <c r="N52" i="5"/>
  <c r="M52" i="5"/>
  <c r="L52" i="5"/>
  <c r="K52" i="5"/>
  <c r="J52" i="5" s="1"/>
  <c r="I52" i="5"/>
  <c r="H52" i="5"/>
  <c r="G52" i="5"/>
  <c r="F52" i="5" s="1"/>
  <c r="E52" i="5"/>
  <c r="J51" i="5"/>
  <c r="F51" i="5"/>
  <c r="D51" i="5" s="1"/>
  <c r="J50" i="5"/>
  <c r="F50" i="5"/>
  <c r="D50" i="5"/>
  <c r="J49" i="5"/>
  <c r="F49" i="5"/>
  <c r="J48" i="5"/>
  <c r="F48" i="5"/>
  <c r="J47" i="5"/>
  <c r="F47" i="5"/>
  <c r="J46" i="5"/>
  <c r="F46" i="5"/>
  <c r="D46" i="5" s="1"/>
  <c r="D17" i="5" s="1"/>
  <c r="P45" i="5"/>
  <c r="O45" i="5"/>
  <c r="N45" i="5"/>
  <c r="M45" i="5"/>
  <c r="L45" i="5"/>
  <c r="K45" i="5"/>
  <c r="I45" i="5"/>
  <c r="H45" i="5"/>
  <c r="G45" i="5"/>
  <c r="E45" i="5"/>
  <c r="J44" i="5"/>
  <c r="F44" i="5"/>
  <c r="D44" i="5"/>
  <c r="P43" i="5"/>
  <c r="O43" i="5"/>
  <c r="N43" i="5"/>
  <c r="M43" i="5"/>
  <c r="L43" i="5"/>
  <c r="K43" i="5"/>
  <c r="I43" i="5"/>
  <c r="H43" i="5"/>
  <c r="G43" i="5"/>
  <c r="F43" i="5" s="1"/>
  <c r="E43" i="5"/>
  <c r="J42" i="5"/>
  <c r="F42" i="5"/>
  <c r="D42" i="5"/>
  <c r="J41" i="5"/>
  <c r="F41" i="5"/>
  <c r="P40" i="5"/>
  <c r="O40" i="5"/>
  <c r="N40" i="5"/>
  <c r="M40" i="5"/>
  <c r="L40" i="5"/>
  <c r="K40" i="5"/>
  <c r="I40" i="5"/>
  <c r="H40" i="5"/>
  <c r="G40" i="5"/>
  <c r="E40" i="5"/>
  <c r="J39" i="5"/>
  <c r="F39" i="5"/>
  <c r="D39" i="5" s="1"/>
  <c r="J38" i="5"/>
  <c r="F38" i="5"/>
  <c r="P37" i="5"/>
  <c r="O37" i="5"/>
  <c r="O15" i="5" s="1"/>
  <c r="N37" i="5"/>
  <c r="M37" i="5"/>
  <c r="M15" i="5" s="1"/>
  <c r="L37" i="5"/>
  <c r="K37" i="5"/>
  <c r="I37" i="5"/>
  <c r="I15" i="5" s="1"/>
  <c r="H37" i="5"/>
  <c r="G37" i="5"/>
  <c r="E37" i="5"/>
  <c r="J36" i="5"/>
  <c r="F36" i="5"/>
  <c r="J35" i="5"/>
  <c r="F35" i="5"/>
  <c r="P34" i="5"/>
  <c r="O34" i="5"/>
  <c r="N34" i="5"/>
  <c r="M34" i="5"/>
  <c r="L34" i="5"/>
  <c r="K34" i="5"/>
  <c r="J34" i="5" s="1"/>
  <c r="I34" i="5"/>
  <c r="H34" i="5"/>
  <c r="H13" i="5" s="1"/>
  <c r="G34" i="5"/>
  <c r="E34" i="5"/>
  <c r="J33" i="5"/>
  <c r="D33" i="5"/>
  <c r="J32" i="5"/>
  <c r="D32" i="5"/>
  <c r="P31" i="5"/>
  <c r="O31" i="5"/>
  <c r="N31" i="5"/>
  <c r="M31" i="5"/>
  <c r="L31" i="5"/>
  <c r="K31" i="5"/>
  <c r="I31" i="5"/>
  <c r="H31" i="5"/>
  <c r="G31" i="5"/>
  <c r="E31" i="5"/>
  <c r="J30" i="5"/>
  <c r="F30" i="5"/>
  <c r="N28" i="5"/>
  <c r="P15" i="5"/>
  <c r="N15" i="5"/>
  <c r="L15" i="5"/>
  <c r="H15" i="5"/>
  <c r="N14" i="5"/>
  <c r="M14" i="5"/>
  <c r="I14" i="5"/>
  <c r="H14" i="5"/>
  <c r="P12" i="5"/>
  <c r="O12" i="5"/>
  <c r="N12" i="5"/>
  <c r="M12" i="5"/>
  <c r="L12" i="5"/>
  <c r="K12" i="5"/>
  <c r="I12" i="5"/>
  <c r="H12" i="5"/>
  <c r="G12" i="5"/>
  <c r="F12" i="5"/>
  <c r="E12" i="5"/>
  <c r="P11" i="5"/>
  <c r="O11" i="5"/>
  <c r="N11" i="5"/>
  <c r="M11" i="5"/>
  <c r="L11" i="5"/>
  <c r="K11" i="5"/>
  <c r="J11" i="5"/>
  <c r="I11" i="5"/>
  <c r="H11" i="5"/>
  <c r="G11" i="5"/>
  <c r="E11" i="5"/>
  <c r="D88" i="4"/>
  <c r="D53" i="4"/>
  <c r="D38" i="4"/>
  <c r="D35" i="4"/>
  <c r="D34" i="4"/>
  <c r="D31" i="4"/>
  <c r="D27" i="4"/>
  <c r="D12" i="4"/>
  <c r="D32" i="3"/>
  <c r="D17" i="3"/>
  <c r="H106" i="5" l="1"/>
  <c r="L118" i="5"/>
  <c r="J118" i="5" s="1"/>
  <c r="I134" i="5"/>
  <c r="I94" i="5"/>
  <c r="F136" i="5"/>
  <c r="F138" i="5"/>
  <c r="F140" i="5"/>
  <c r="G134" i="5"/>
  <c r="D184" i="5"/>
  <c r="M118" i="5"/>
  <c r="D175" i="5"/>
  <c r="D173" i="5"/>
  <c r="I106" i="5"/>
  <c r="F105" i="5"/>
  <c r="K94" i="5"/>
  <c r="D146" i="5"/>
  <c r="J105" i="5"/>
  <c r="D154" i="5"/>
  <c r="L99" i="5"/>
  <c r="H99" i="5"/>
  <c r="I99" i="5"/>
  <c r="F99" i="5" s="1"/>
  <c r="F104" i="5"/>
  <c r="K99" i="5"/>
  <c r="J99" i="5" s="1"/>
  <c r="L13" i="5"/>
  <c r="G29" i="5"/>
  <c r="F34" i="5"/>
  <c r="D34" i="5" s="1"/>
  <c r="D13" i="5" s="1"/>
  <c r="D36" i="5"/>
  <c r="E43" i="8"/>
  <c r="E47" i="10"/>
  <c r="E48" i="10" s="1"/>
  <c r="E12" i="9"/>
  <c r="E40" i="9" s="1"/>
  <c r="E32" i="8"/>
  <c r="L97" i="11"/>
  <c r="J97" i="11" s="1"/>
  <c r="L12" i="11"/>
  <c r="M21" i="11"/>
  <c r="M20" i="11" s="1"/>
  <c r="J107" i="11"/>
  <c r="D133" i="11"/>
  <c r="J99" i="11"/>
  <c r="J14" i="11"/>
  <c r="L101" i="11"/>
  <c r="D120" i="11"/>
  <c r="D122" i="11"/>
  <c r="D124" i="11"/>
  <c r="D126" i="11"/>
  <c r="F98" i="11"/>
  <c r="F99" i="11"/>
  <c r="H17" i="11"/>
  <c r="H19" i="11"/>
  <c r="G28" i="11"/>
  <c r="F28" i="11" s="1"/>
  <c r="F117" i="11"/>
  <c r="I11" i="11"/>
  <c r="F14" i="11"/>
  <c r="F32" i="11"/>
  <c r="H16" i="11"/>
  <c r="O96" i="11"/>
  <c r="G25" i="11"/>
  <c r="P25" i="11"/>
  <c r="I108" i="11"/>
  <c r="I96" i="11" s="1"/>
  <c r="P15" i="11"/>
  <c r="N101" i="11"/>
  <c r="F104" i="11"/>
  <c r="G16" i="11"/>
  <c r="L16" i="11"/>
  <c r="I17" i="11"/>
  <c r="F17" i="11" s="1"/>
  <c r="N17" i="11"/>
  <c r="N15" i="11" s="1"/>
  <c r="G18" i="11"/>
  <c r="P18" i="11"/>
  <c r="N19" i="11"/>
  <c r="D96" i="11"/>
  <c r="H96" i="11"/>
  <c r="H134" i="11" s="1"/>
  <c r="P96" i="11"/>
  <c r="M32" i="11"/>
  <c r="L57" i="11"/>
  <c r="L26" i="11"/>
  <c r="D86" i="11"/>
  <c r="D88" i="11"/>
  <c r="D90" i="11"/>
  <c r="D92" i="11"/>
  <c r="D83" i="11"/>
  <c r="D94" i="11"/>
  <c r="L21" i="11"/>
  <c r="L20" i="11" s="1"/>
  <c r="I57" i="11"/>
  <c r="F59" i="11"/>
  <c r="H69" i="11"/>
  <c r="F69" i="11" s="1"/>
  <c r="I24" i="11"/>
  <c r="F76" i="11"/>
  <c r="F78" i="11"/>
  <c r="H21" i="11"/>
  <c r="H20" i="11" s="1"/>
  <c r="P72" i="11"/>
  <c r="H27" i="11"/>
  <c r="H26" i="11" s="1"/>
  <c r="N27" i="11"/>
  <c r="N28" i="11"/>
  <c r="N24" i="11"/>
  <c r="E25" i="11"/>
  <c r="O25" i="11"/>
  <c r="O23" i="11" s="1"/>
  <c r="J69" i="11"/>
  <c r="E24" i="11"/>
  <c r="I19" i="11"/>
  <c r="F19" i="11" s="1"/>
  <c r="G61" i="11"/>
  <c r="N61" i="11"/>
  <c r="N56" i="11" s="1"/>
  <c r="F64" i="11"/>
  <c r="E19" i="11"/>
  <c r="O19" i="11"/>
  <c r="I61" i="11"/>
  <c r="J63" i="11"/>
  <c r="J65" i="11"/>
  <c r="O15" i="11"/>
  <c r="F62" i="11"/>
  <c r="M18" i="11"/>
  <c r="F63" i="11"/>
  <c r="F65" i="11"/>
  <c r="D46" i="11"/>
  <c r="D47" i="11"/>
  <c r="D48" i="11"/>
  <c r="I33" i="11"/>
  <c r="D42" i="11"/>
  <c r="J32" i="7"/>
  <c r="K27" i="7"/>
  <c r="J27" i="7" s="1"/>
  <c r="L28" i="7"/>
  <c r="L32" i="7"/>
  <c r="J103" i="7"/>
  <c r="J105" i="7"/>
  <c r="J107" i="7"/>
  <c r="J110" i="7"/>
  <c r="K111" i="7"/>
  <c r="J111" i="7" s="1"/>
  <c r="J114" i="7"/>
  <c r="J116" i="7"/>
  <c r="D125" i="7"/>
  <c r="D132" i="7"/>
  <c r="K97" i="7"/>
  <c r="J97" i="7" s="1"/>
  <c r="L101" i="7"/>
  <c r="L111" i="7"/>
  <c r="L12" i="7"/>
  <c r="L11" i="7" s="1"/>
  <c r="J11" i="7" s="1"/>
  <c r="M27" i="7"/>
  <c r="M26" i="7" s="1"/>
  <c r="M101" i="7"/>
  <c r="J109" i="7"/>
  <c r="J115" i="7"/>
  <c r="J117" i="7"/>
  <c r="D124" i="7"/>
  <c r="D126" i="7"/>
  <c r="D133" i="7"/>
  <c r="G13" i="7"/>
  <c r="G11" i="7" s="1"/>
  <c r="G14" i="7"/>
  <c r="I16" i="7"/>
  <c r="I15" i="7" s="1"/>
  <c r="G17" i="7"/>
  <c r="I18" i="7"/>
  <c r="G19" i="7"/>
  <c r="H31" i="7"/>
  <c r="F115" i="7"/>
  <c r="F117" i="7"/>
  <c r="I11" i="7"/>
  <c r="F14" i="7"/>
  <c r="I25" i="7"/>
  <c r="H24" i="7"/>
  <c r="H32" i="7"/>
  <c r="H101" i="7"/>
  <c r="I114" i="7"/>
  <c r="F114" i="7" s="1"/>
  <c r="E96" i="7"/>
  <c r="E134" i="7" s="1"/>
  <c r="N108" i="7"/>
  <c r="N96" i="7" s="1"/>
  <c r="N134" i="7" s="1"/>
  <c r="N238" i="5" s="1"/>
  <c r="N200" i="5" s="1"/>
  <c r="M25" i="7"/>
  <c r="J25" i="7" s="1"/>
  <c r="D25" i="7" s="1"/>
  <c r="F110" i="7"/>
  <c r="N23" i="7"/>
  <c r="O108" i="7"/>
  <c r="O96" i="7" s="1"/>
  <c r="O134" i="7" s="1"/>
  <c r="O238" i="5" s="1"/>
  <c r="O200" i="5" s="1"/>
  <c r="E15" i="7"/>
  <c r="F103" i="7"/>
  <c r="F105" i="7"/>
  <c r="P96" i="7"/>
  <c r="P134" i="7" s="1"/>
  <c r="P238" i="5" s="1"/>
  <c r="P200" i="5" s="1"/>
  <c r="K16" i="7"/>
  <c r="O16" i="7"/>
  <c r="M19" i="7"/>
  <c r="J19" i="7" s="1"/>
  <c r="J102" i="7"/>
  <c r="J104" i="7"/>
  <c r="L16" i="7"/>
  <c r="L15" i="7" s="1"/>
  <c r="P16" i="7"/>
  <c r="P15" i="7" s="1"/>
  <c r="M17" i="7"/>
  <c r="M18" i="7"/>
  <c r="I17" i="7"/>
  <c r="G18" i="7"/>
  <c r="F102" i="7"/>
  <c r="F104" i="7"/>
  <c r="K69" i="7"/>
  <c r="J69" i="7" s="1"/>
  <c r="J73" i="7"/>
  <c r="D82" i="7"/>
  <c r="D84" i="7"/>
  <c r="J14" i="7"/>
  <c r="J59" i="7"/>
  <c r="K12" i="7"/>
  <c r="K11" i="7" s="1"/>
  <c r="M13" i="7"/>
  <c r="M11" i="7" s="1"/>
  <c r="J18" i="7"/>
  <c r="L30" i="7"/>
  <c r="L29" i="7" s="1"/>
  <c r="J58" i="7"/>
  <c r="J60" i="7"/>
  <c r="J62" i="7"/>
  <c r="J64" i="7"/>
  <c r="L26" i="7"/>
  <c r="K75" i="7"/>
  <c r="J75" i="7" s="1"/>
  <c r="J76" i="7"/>
  <c r="J78" i="7"/>
  <c r="D86" i="7"/>
  <c r="D88" i="7"/>
  <c r="F18" i="7"/>
  <c r="I61" i="7"/>
  <c r="I56" i="7" s="1"/>
  <c r="G61" i="7"/>
  <c r="I72" i="7"/>
  <c r="F72" i="7" s="1"/>
  <c r="D14" i="7"/>
  <c r="F59" i="7"/>
  <c r="I66" i="7"/>
  <c r="G75" i="7"/>
  <c r="F32" i="7"/>
  <c r="D32" i="7" s="1"/>
  <c r="G16" i="7"/>
  <c r="F16" i="7" s="1"/>
  <c r="I27" i="7"/>
  <c r="F58" i="7"/>
  <c r="F60" i="7"/>
  <c r="I20" i="7"/>
  <c r="O26" i="7"/>
  <c r="J28" i="7"/>
  <c r="J72" i="7"/>
  <c r="J74" i="7"/>
  <c r="E66" i="7"/>
  <c r="E56" i="7" s="1"/>
  <c r="N56" i="7"/>
  <c r="N20" i="7"/>
  <c r="F68" i="7"/>
  <c r="J24" i="7"/>
  <c r="M23" i="7"/>
  <c r="I23" i="7"/>
  <c r="L20" i="7"/>
  <c r="O20" i="7"/>
  <c r="M21" i="7"/>
  <c r="J21" i="7" s="1"/>
  <c r="K22" i="7"/>
  <c r="K20" i="7" s="1"/>
  <c r="L66" i="7"/>
  <c r="L56" i="7" s="1"/>
  <c r="J67" i="7"/>
  <c r="O66" i="7"/>
  <c r="O56" i="7" s="1"/>
  <c r="G22" i="7"/>
  <c r="F22" i="7" s="1"/>
  <c r="O15" i="7"/>
  <c r="O10" i="7" s="1"/>
  <c r="D55" i="6" s="1"/>
  <c r="K61" i="7"/>
  <c r="J61" i="7" s="1"/>
  <c r="J63" i="7"/>
  <c r="N15" i="7"/>
  <c r="J65" i="7"/>
  <c r="K23" i="7"/>
  <c r="D47" i="7"/>
  <c r="D46" i="7"/>
  <c r="H23" i="7"/>
  <c r="F25" i="7"/>
  <c r="M20" i="7"/>
  <c r="D44" i="7"/>
  <c r="D38" i="7"/>
  <c r="D185" i="5"/>
  <c r="K134" i="5"/>
  <c r="H134" i="5"/>
  <c r="F133" i="5"/>
  <c r="D182" i="5"/>
  <c r="H118" i="5"/>
  <c r="F118" i="5" s="1"/>
  <c r="D179" i="5"/>
  <c r="F119" i="5"/>
  <c r="F121" i="5"/>
  <c r="F123" i="5"/>
  <c r="F125" i="5"/>
  <c r="F127" i="5"/>
  <c r="F129" i="5"/>
  <c r="F131" i="5"/>
  <c r="D171" i="5"/>
  <c r="M111" i="5"/>
  <c r="J114" i="5"/>
  <c r="D165" i="5"/>
  <c r="L106" i="5"/>
  <c r="D159" i="5"/>
  <c r="D161" i="5"/>
  <c r="D158" i="5"/>
  <c r="D160" i="5"/>
  <c r="F107" i="5"/>
  <c r="F109" i="5"/>
  <c r="E106" i="5"/>
  <c r="D152" i="5"/>
  <c r="D151" i="5"/>
  <c r="M94" i="5"/>
  <c r="M90" i="5" s="1"/>
  <c r="M26" i="5" s="1"/>
  <c r="J96" i="5"/>
  <c r="D147" i="5"/>
  <c r="O28" i="5"/>
  <c r="E14" i="5"/>
  <c r="K14" i="5"/>
  <c r="O14" i="5"/>
  <c r="G14" i="5"/>
  <c r="P14" i="5"/>
  <c r="N91" i="5"/>
  <c r="M28" i="5"/>
  <c r="J135" i="5"/>
  <c r="J137" i="5"/>
  <c r="J139" i="5"/>
  <c r="I28" i="5"/>
  <c r="F135" i="5"/>
  <c r="F137" i="5"/>
  <c r="F139" i="5"/>
  <c r="F134" i="5"/>
  <c r="L134" i="5"/>
  <c r="J136" i="5"/>
  <c r="J138" i="5"/>
  <c r="J140" i="5"/>
  <c r="D90" i="5"/>
  <c r="G118" i="5"/>
  <c r="E118" i="5"/>
  <c r="J119" i="5"/>
  <c r="J121" i="5"/>
  <c r="J123" i="5"/>
  <c r="J125" i="5"/>
  <c r="J127" i="5"/>
  <c r="J129" i="5"/>
  <c r="J131" i="5"/>
  <c r="J133" i="5"/>
  <c r="O111" i="5"/>
  <c r="O90" i="5" s="1"/>
  <c r="O26" i="5" s="1"/>
  <c r="I111" i="5"/>
  <c r="I90" i="5" s="1"/>
  <c r="I26" i="5" s="1"/>
  <c r="E111" i="5"/>
  <c r="J112" i="5"/>
  <c r="G106" i="5"/>
  <c r="G90" i="5" s="1"/>
  <c r="J107" i="5"/>
  <c r="J109" i="5"/>
  <c r="K106" i="5"/>
  <c r="N90" i="5"/>
  <c r="N26" i="5" s="1"/>
  <c r="F96" i="5"/>
  <c r="J95" i="5"/>
  <c r="P94" i="5"/>
  <c r="F95" i="5"/>
  <c r="N13" i="5"/>
  <c r="I91" i="5"/>
  <c r="I13" i="5" s="1"/>
  <c r="F92" i="5"/>
  <c r="P90" i="5"/>
  <c r="P26" i="5" s="1"/>
  <c r="K28" i="5"/>
  <c r="K91" i="5"/>
  <c r="K13" i="5" s="1"/>
  <c r="P28" i="5"/>
  <c r="J82" i="5"/>
  <c r="D85" i="5"/>
  <c r="D87" i="5"/>
  <c r="F82" i="5"/>
  <c r="D86" i="5"/>
  <c r="D66" i="5"/>
  <c r="D67" i="5"/>
  <c r="D69" i="5"/>
  <c r="D71" i="5"/>
  <c r="D73" i="5"/>
  <c r="D70" i="5"/>
  <c r="D80" i="5"/>
  <c r="D72" i="5"/>
  <c r="J57" i="5"/>
  <c r="D55" i="5"/>
  <c r="J45" i="5"/>
  <c r="D49" i="5"/>
  <c r="D18" i="5" s="1"/>
  <c r="F45" i="5"/>
  <c r="D48" i="5"/>
  <c r="E29" i="5"/>
  <c r="E25" i="5" s="1"/>
  <c r="M29" i="5"/>
  <c r="M25" i="5" s="1"/>
  <c r="D41" i="5"/>
  <c r="D38" i="5"/>
  <c r="J14" i="5"/>
  <c r="P29" i="5"/>
  <c r="P25" i="5" s="1"/>
  <c r="D30" i="5"/>
  <c r="D11" i="5" s="1"/>
  <c r="F11" i="5"/>
  <c r="G28" i="5"/>
  <c r="I29" i="5"/>
  <c r="F37" i="5"/>
  <c r="F15" i="5" s="1"/>
  <c r="G15" i="5"/>
  <c r="F40" i="5"/>
  <c r="H29" i="5"/>
  <c r="F57" i="5"/>
  <c r="D57" i="5" s="1"/>
  <c r="E91" i="5"/>
  <c r="J91" i="5"/>
  <c r="J13" i="5" s="1"/>
  <c r="J93" i="5"/>
  <c r="L94" i="5"/>
  <c r="J108" i="5"/>
  <c r="J110" i="5"/>
  <c r="H111" i="5"/>
  <c r="J120" i="5"/>
  <c r="J122" i="5"/>
  <c r="J124" i="5"/>
  <c r="J126" i="5"/>
  <c r="J128" i="5"/>
  <c r="J130" i="5"/>
  <c r="J132" i="5"/>
  <c r="L29" i="5"/>
  <c r="J40" i="5"/>
  <c r="D52" i="5"/>
  <c r="D20" i="5" s="1"/>
  <c r="J31" i="5"/>
  <c r="K29" i="5"/>
  <c r="O29" i="5"/>
  <c r="J43" i="5"/>
  <c r="D43" i="5" s="1"/>
  <c r="J63" i="5"/>
  <c r="D63" i="5" s="1"/>
  <c r="F91" i="5"/>
  <c r="F93" i="5"/>
  <c r="H94" i="5"/>
  <c r="F108" i="5"/>
  <c r="F110" i="5"/>
  <c r="F120" i="5"/>
  <c r="F122" i="5"/>
  <c r="F124" i="5"/>
  <c r="F126" i="5"/>
  <c r="F128" i="5"/>
  <c r="F130" i="5"/>
  <c r="F132" i="5"/>
  <c r="D35" i="5"/>
  <c r="D14" i="5" s="1"/>
  <c r="F14" i="5"/>
  <c r="J37" i="5"/>
  <c r="J15" i="5" s="1"/>
  <c r="K15" i="5"/>
  <c r="D47" i="5"/>
  <c r="D19" i="5" s="1"/>
  <c r="N29" i="5"/>
  <c r="G25" i="5"/>
  <c r="E28" i="9"/>
  <c r="D53" i="5"/>
  <c r="D21" i="5" s="1"/>
  <c r="M13" i="5"/>
  <c r="H11" i="7"/>
  <c r="F12" i="7"/>
  <c r="G33" i="11"/>
  <c r="F38" i="11"/>
  <c r="M57" i="11"/>
  <c r="M12" i="11"/>
  <c r="M11" i="11" s="1"/>
  <c r="E57" i="11"/>
  <c r="E13" i="11"/>
  <c r="J59" i="11"/>
  <c r="K57" i="11"/>
  <c r="L25" i="11"/>
  <c r="J71" i="11"/>
  <c r="G13" i="5"/>
  <c r="O13" i="5"/>
  <c r="E15" i="5"/>
  <c r="H28" i="5"/>
  <c r="L28" i="5"/>
  <c r="D37" i="5"/>
  <c r="D15" i="5" s="1"/>
  <c r="F114" i="5"/>
  <c r="D186" i="5"/>
  <c r="K13" i="11"/>
  <c r="J113" i="5"/>
  <c r="L33" i="7"/>
  <c r="J34" i="7"/>
  <c r="F67" i="7"/>
  <c r="G66" i="7"/>
  <c r="H75" i="7"/>
  <c r="F75" i="7" s="1"/>
  <c r="H30" i="7"/>
  <c r="E238" i="5"/>
  <c r="F98" i="5"/>
  <c r="K111" i="5"/>
  <c r="P11" i="7"/>
  <c r="K15" i="7"/>
  <c r="G21" i="7"/>
  <c r="G29" i="7"/>
  <c r="F17" i="7"/>
  <c r="F27" i="7"/>
  <c r="G26" i="7"/>
  <c r="J31" i="7"/>
  <c r="K29" i="7"/>
  <c r="H33" i="7"/>
  <c r="F34" i="7"/>
  <c r="J43" i="7"/>
  <c r="K33" i="7"/>
  <c r="F101" i="7"/>
  <c r="J17" i="11"/>
  <c r="J13" i="7"/>
  <c r="E23" i="7"/>
  <c r="F107" i="7"/>
  <c r="H21" i="7"/>
  <c r="H20" i="7" s="1"/>
  <c r="H106" i="7"/>
  <c r="F116" i="7"/>
  <c r="I31" i="7"/>
  <c r="I29" i="7" s="1"/>
  <c r="F13" i="7"/>
  <c r="E20" i="7"/>
  <c r="F57" i="7"/>
  <c r="F65" i="7"/>
  <c r="H19" i="7"/>
  <c r="F19" i="7" s="1"/>
  <c r="F74" i="7"/>
  <c r="I28" i="7"/>
  <c r="F28" i="7" s="1"/>
  <c r="F109" i="7"/>
  <c r="G108" i="7"/>
  <c r="G24" i="7"/>
  <c r="E26" i="7"/>
  <c r="F43" i="7"/>
  <c r="D43" i="7" s="1"/>
  <c r="D49" i="7"/>
  <c r="F52" i="7"/>
  <c r="D52" i="7" s="1"/>
  <c r="D56" i="7"/>
  <c r="F62" i="7"/>
  <c r="F64" i="7"/>
  <c r="K66" i="7"/>
  <c r="F77" i="7"/>
  <c r="L106" i="7"/>
  <c r="K108" i="7"/>
  <c r="E10" i="8"/>
  <c r="E64" i="10"/>
  <c r="E59" i="10"/>
  <c r="L11" i="11"/>
  <c r="F13" i="11"/>
  <c r="G11" i="11"/>
  <c r="J62" i="11"/>
  <c r="L61" i="11"/>
  <c r="J64" i="11"/>
  <c r="L18" i="11"/>
  <c r="H11" i="11"/>
  <c r="F12" i="11"/>
  <c r="J21" i="11"/>
  <c r="E72" i="11"/>
  <c r="E27" i="11"/>
  <c r="J73" i="11"/>
  <c r="K72" i="11"/>
  <c r="K27" i="11"/>
  <c r="O72" i="11"/>
  <c r="O56" i="11" s="1"/>
  <c r="O27" i="11"/>
  <c r="O26" i="11" s="1"/>
  <c r="M28" i="11"/>
  <c r="J28" i="11" s="1"/>
  <c r="M72" i="11"/>
  <c r="M101" i="11"/>
  <c r="M16" i="11"/>
  <c r="E101" i="11"/>
  <c r="E17" i="11"/>
  <c r="J103" i="11"/>
  <c r="K101" i="11"/>
  <c r="J105" i="11"/>
  <c r="K19" i="11"/>
  <c r="J19" i="11" s="1"/>
  <c r="N20" i="11"/>
  <c r="M114" i="11"/>
  <c r="M30" i="11"/>
  <c r="E114" i="11"/>
  <c r="E31" i="11"/>
  <c r="J116" i="11"/>
  <c r="K114" i="11"/>
  <c r="J114" i="11" s="1"/>
  <c r="D48" i="7"/>
  <c r="D50" i="7"/>
  <c r="M56" i="7"/>
  <c r="J57" i="7"/>
  <c r="P56" i="7"/>
  <c r="F63" i="7"/>
  <c r="F76" i="7"/>
  <c r="F78" i="7"/>
  <c r="M96" i="7"/>
  <c r="M134" i="7" s="1"/>
  <c r="M238" i="5" s="1"/>
  <c r="M200" i="5" s="1"/>
  <c r="J101" i="7"/>
  <c r="E28" i="8"/>
  <c r="E27" i="10"/>
  <c r="P23" i="11"/>
  <c r="J38" i="11"/>
  <c r="K33" i="11"/>
  <c r="O33" i="11"/>
  <c r="J76" i="11"/>
  <c r="L75" i="11"/>
  <c r="J75" i="11" s="1"/>
  <c r="L30" i="11"/>
  <c r="P30" i="11"/>
  <c r="P29" i="11" s="1"/>
  <c r="P75" i="11"/>
  <c r="P56" i="11" s="1"/>
  <c r="J78" i="11"/>
  <c r="L32" i="11"/>
  <c r="H25" i="11"/>
  <c r="F71" i="11"/>
  <c r="F73" i="11"/>
  <c r="G72" i="11"/>
  <c r="G27" i="11"/>
  <c r="F109" i="11"/>
  <c r="G108" i="11"/>
  <c r="G24" i="11"/>
  <c r="H18" i="11"/>
  <c r="F18" i="11" s="1"/>
  <c r="I25" i="11"/>
  <c r="L33" i="11"/>
  <c r="J34" i="11"/>
  <c r="J33" i="11" s="1"/>
  <c r="E21" i="11"/>
  <c r="E66" i="11"/>
  <c r="J67" i="11"/>
  <c r="K66" i="11"/>
  <c r="O21" i="11"/>
  <c r="O20" i="11" s="1"/>
  <c r="O66" i="11"/>
  <c r="J70" i="11"/>
  <c r="L24" i="11"/>
  <c r="J77" i="11"/>
  <c r="L31" i="11"/>
  <c r="J31" i="11" s="1"/>
  <c r="N96" i="11"/>
  <c r="M24" i="11"/>
  <c r="M23" i="11" s="1"/>
  <c r="M108" i="11"/>
  <c r="E23" i="11"/>
  <c r="J110" i="11"/>
  <c r="K25" i="11"/>
  <c r="H30" i="11"/>
  <c r="H33" i="11"/>
  <c r="F34" i="11"/>
  <c r="G57" i="11"/>
  <c r="H61" i="11"/>
  <c r="M66" i="11"/>
  <c r="F67" i="11"/>
  <c r="G66" i="11"/>
  <c r="F66" i="11" s="1"/>
  <c r="H24" i="11"/>
  <c r="H23" i="11" s="1"/>
  <c r="F70" i="11"/>
  <c r="I72" i="11"/>
  <c r="H75" i="11"/>
  <c r="F75" i="11" s="1"/>
  <c r="H31" i="11"/>
  <c r="F31" i="11" s="1"/>
  <c r="F77" i="11"/>
  <c r="F102" i="11"/>
  <c r="G101" i="11"/>
  <c r="K108" i="11"/>
  <c r="F115" i="11"/>
  <c r="G30" i="11"/>
  <c r="G114" i="11"/>
  <c r="F114" i="11" s="1"/>
  <c r="I20" i="11"/>
  <c r="D43" i="11"/>
  <c r="F49" i="11"/>
  <c r="D49" i="11" s="1"/>
  <c r="J58" i="11"/>
  <c r="J60" i="11"/>
  <c r="J68" i="11"/>
  <c r="K22" i="11"/>
  <c r="J22" i="11" s="1"/>
  <c r="J74" i="11"/>
  <c r="F103" i="11"/>
  <c r="F105" i="11"/>
  <c r="F110" i="11"/>
  <c r="F116" i="11"/>
  <c r="N23" i="11"/>
  <c r="D39" i="11"/>
  <c r="F58" i="11"/>
  <c r="F60" i="11"/>
  <c r="F68" i="11"/>
  <c r="G22" i="11"/>
  <c r="F22" i="11" s="1"/>
  <c r="F74" i="11"/>
  <c r="J102" i="11"/>
  <c r="J104" i="11"/>
  <c r="J109" i="11"/>
  <c r="J115" i="11"/>
  <c r="K30" i="11"/>
  <c r="J117" i="11"/>
  <c r="E36" i="9" l="1"/>
  <c r="E35" i="9" s="1"/>
  <c r="D82" i="5"/>
  <c r="J134" i="5"/>
  <c r="J111" i="5"/>
  <c r="K90" i="5"/>
  <c r="K26" i="5" s="1"/>
  <c r="F111" i="5"/>
  <c r="F106" i="5"/>
  <c r="F13" i="5"/>
  <c r="E63" i="10"/>
  <c r="E27" i="8"/>
  <c r="E41" i="8" s="1"/>
  <c r="J22" i="7"/>
  <c r="L96" i="11"/>
  <c r="L134" i="11" s="1"/>
  <c r="D14" i="11"/>
  <c r="I23" i="11"/>
  <c r="F16" i="11"/>
  <c r="F25" i="11"/>
  <c r="O134" i="11"/>
  <c r="N134" i="11"/>
  <c r="F108" i="11"/>
  <c r="P134" i="11"/>
  <c r="G15" i="11"/>
  <c r="M15" i="11"/>
  <c r="P10" i="11"/>
  <c r="D33" i="6" s="1"/>
  <c r="J18" i="11"/>
  <c r="D18" i="11" s="1"/>
  <c r="I15" i="11"/>
  <c r="I134" i="11"/>
  <c r="J32" i="11"/>
  <c r="D32" i="11" s="1"/>
  <c r="M29" i="11"/>
  <c r="J12" i="11"/>
  <c r="D12" i="11" s="1"/>
  <c r="M26" i="11"/>
  <c r="K15" i="11"/>
  <c r="I56" i="11"/>
  <c r="D28" i="11"/>
  <c r="F21" i="11"/>
  <c r="D21" i="11" s="1"/>
  <c r="N26" i="11"/>
  <c r="N10" i="11" s="1"/>
  <c r="D18" i="6" s="1"/>
  <c r="O10" i="11"/>
  <c r="D32" i="6" s="1"/>
  <c r="D19" i="11"/>
  <c r="J25" i="11"/>
  <c r="G20" i="11"/>
  <c r="F20" i="11" s="1"/>
  <c r="J30" i="7"/>
  <c r="K26" i="7"/>
  <c r="J26" i="7" s="1"/>
  <c r="J12" i="7"/>
  <c r="J16" i="7"/>
  <c r="M15" i="7"/>
  <c r="M10" i="7" s="1"/>
  <c r="D40" i="6" s="1"/>
  <c r="D27" i="7"/>
  <c r="D13" i="7"/>
  <c r="I96" i="7"/>
  <c r="I134" i="7" s="1"/>
  <c r="I238" i="5" s="1"/>
  <c r="I200" i="5" s="1"/>
  <c r="J17" i="7"/>
  <c r="D17" i="7" s="1"/>
  <c r="D18" i="7"/>
  <c r="P10" i="7"/>
  <c r="D56" i="6" s="1"/>
  <c r="D12" i="7"/>
  <c r="D16" i="7"/>
  <c r="F61" i="7"/>
  <c r="G15" i="7"/>
  <c r="F31" i="7"/>
  <c r="D31" i="7" s="1"/>
  <c r="H56" i="7"/>
  <c r="D28" i="7"/>
  <c r="N10" i="7"/>
  <c r="D41" i="6" s="1"/>
  <c r="J23" i="7"/>
  <c r="D22" i="7"/>
  <c r="D19" i="7"/>
  <c r="D54" i="6"/>
  <c r="J20" i="7"/>
  <c r="J15" i="7"/>
  <c r="J106" i="5"/>
  <c r="J28" i="5"/>
  <c r="D45" i="5"/>
  <c r="D16" i="5" s="1"/>
  <c r="J27" i="11"/>
  <c r="K26" i="11"/>
  <c r="J26" i="11" s="1"/>
  <c r="E11" i="11"/>
  <c r="E10" i="7"/>
  <c r="D42" i="6" s="1"/>
  <c r="O25" i="5"/>
  <c r="H25" i="5"/>
  <c r="J108" i="11"/>
  <c r="F61" i="11"/>
  <c r="H56" i="11"/>
  <c r="H29" i="11"/>
  <c r="H10" i="11" s="1"/>
  <c r="J24" i="11"/>
  <c r="L23" i="11"/>
  <c r="J66" i="11"/>
  <c r="F27" i="11"/>
  <c r="G26" i="11"/>
  <c r="F26" i="11" s="1"/>
  <c r="K23" i="11"/>
  <c r="E96" i="11"/>
  <c r="E134" i="11" s="1"/>
  <c r="J72" i="11"/>
  <c r="H15" i="11"/>
  <c r="J16" i="11"/>
  <c r="F106" i="7"/>
  <c r="H96" i="7"/>
  <c r="H134" i="7" s="1"/>
  <c r="H238" i="5" s="1"/>
  <c r="H200" i="5" s="1"/>
  <c r="H15" i="7"/>
  <c r="H10" i="7" s="1"/>
  <c r="J29" i="7"/>
  <c r="H29" i="7"/>
  <c r="F29" i="7" s="1"/>
  <c r="D29" i="7" s="1"/>
  <c r="F30" i="7"/>
  <c r="D30" i="7" s="1"/>
  <c r="J33" i="7"/>
  <c r="G26" i="5"/>
  <c r="E56" i="11"/>
  <c r="D38" i="11"/>
  <c r="N25" i="5"/>
  <c r="F94" i="5"/>
  <c r="H90" i="5"/>
  <c r="H26" i="5" s="1"/>
  <c r="K25" i="5"/>
  <c r="J29" i="5"/>
  <c r="L25" i="5"/>
  <c r="D40" i="5"/>
  <c r="I25" i="5"/>
  <c r="D17" i="11"/>
  <c r="E15" i="11"/>
  <c r="F108" i="7"/>
  <c r="G96" i="7"/>
  <c r="G134" i="7" s="1"/>
  <c r="J30" i="11"/>
  <c r="K29" i="11"/>
  <c r="F101" i="11"/>
  <c r="G96" i="11"/>
  <c r="G134" i="11" s="1"/>
  <c r="F57" i="11"/>
  <c r="G56" i="11"/>
  <c r="F24" i="11"/>
  <c r="G23" i="11"/>
  <c r="F23" i="11" s="1"/>
  <c r="F72" i="11"/>
  <c r="L29" i="11"/>
  <c r="D31" i="11"/>
  <c r="E29" i="11"/>
  <c r="J101" i="11"/>
  <c r="K96" i="11"/>
  <c r="K134" i="11" s="1"/>
  <c r="K20" i="11"/>
  <c r="J20" i="11" s="1"/>
  <c r="L15" i="11"/>
  <c r="J66" i="7"/>
  <c r="J56" i="7" s="1"/>
  <c r="K56" i="7"/>
  <c r="I26" i="7"/>
  <c r="I10" i="7" s="1"/>
  <c r="L10" i="7"/>
  <c r="D39" i="6" s="1"/>
  <c r="J13" i="11"/>
  <c r="D13" i="11" s="1"/>
  <c r="K11" i="11"/>
  <c r="J57" i="11"/>
  <c r="K56" i="11"/>
  <c r="D22" i="5"/>
  <c r="J12" i="5"/>
  <c r="D31" i="5"/>
  <c r="D12" i="5" s="1"/>
  <c r="F28" i="5"/>
  <c r="E20" i="11"/>
  <c r="J106" i="7"/>
  <c r="L96" i="7"/>
  <c r="L134" i="7" s="1"/>
  <c r="L238" i="5" s="1"/>
  <c r="L200" i="5" s="1"/>
  <c r="D22" i="11"/>
  <c r="G29" i="11"/>
  <c r="F30" i="11"/>
  <c r="F33" i="11"/>
  <c r="D33" i="11" s="1"/>
  <c r="D34" i="11"/>
  <c r="M96" i="11"/>
  <c r="M134" i="11" s="1"/>
  <c r="E26" i="11"/>
  <c r="J61" i="11"/>
  <c r="L56" i="11"/>
  <c r="F11" i="11"/>
  <c r="J108" i="7"/>
  <c r="K96" i="7"/>
  <c r="K134" i="7" s="1"/>
  <c r="F24" i="7"/>
  <c r="D24" i="7" s="1"/>
  <c r="G23" i="7"/>
  <c r="F23" i="7" s="1"/>
  <c r="F33" i="7"/>
  <c r="D34" i="7"/>
  <c r="F21" i="7"/>
  <c r="D21" i="7" s="1"/>
  <c r="G20" i="7"/>
  <c r="F20" i="7" s="1"/>
  <c r="E200" i="5"/>
  <c r="F66" i="7"/>
  <c r="F56" i="7" s="1"/>
  <c r="G56" i="7"/>
  <c r="M56" i="11"/>
  <c r="F11" i="7"/>
  <c r="E27" i="9"/>
  <c r="J94" i="5"/>
  <c r="L90" i="5"/>
  <c r="L26" i="5" s="1"/>
  <c r="E90" i="5"/>
  <c r="E13" i="5"/>
  <c r="F29" i="5"/>
  <c r="E57" i="8" l="1"/>
  <c r="E56" i="8" s="1"/>
  <c r="D27" i="11"/>
  <c r="M10" i="11"/>
  <c r="D17" i="6" s="1"/>
  <c r="F29" i="11"/>
  <c r="D16" i="11"/>
  <c r="I10" i="11"/>
  <c r="F15" i="11"/>
  <c r="F96" i="11"/>
  <c r="D25" i="11"/>
  <c r="J23" i="11"/>
  <c r="D23" i="11" s="1"/>
  <c r="D31" i="6"/>
  <c r="F134" i="11"/>
  <c r="D30" i="11"/>
  <c r="D26" i="11"/>
  <c r="G10" i="11"/>
  <c r="L10" i="11"/>
  <c r="D16" i="6" s="1"/>
  <c r="J15" i="11"/>
  <c r="K10" i="7"/>
  <c r="D38" i="6" s="1"/>
  <c r="F96" i="7"/>
  <c r="J96" i="7"/>
  <c r="D23" i="7"/>
  <c r="D20" i="7"/>
  <c r="J10" i="7"/>
  <c r="D37" i="6" s="1"/>
  <c r="D33" i="7"/>
  <c r="F15" i="7"/>
  <c r="D15" i="7" s="1"/>
  <c r="D28" i="5"/>
  <c r="F25" i="5"/>
  <c r="F26" i="5"/>
  <c r="F90" i="5"/>
  <c r="J134" i="11"/>
  <c r="J29" i="11"/>
  <c r="E26" i="5"/>
  <c r="F10" i="11"/>
  <c r="D13" i="6" s="1"/>
  <c r="D20" i="11"/>
  <c r="J56" i="11"/>
  <c r="J96" i="11"/>
  <c r="F56" i="11"/>
  <c r="F134" i="7"/>
  <c r="G238" i="5"/>
  <c r="J90" i="5"/>
  <c r="J11" i="11"/>
  <c r="K10" i="11"/>
  <c r="D15" i="6" s="1"/>
  <c r="J26" i="5"/>
  <c r="G10" i="7"/>
  <c r="D11" i="7"/>
  <c r="J134" i="7"/>
  <c r="K238" i="5"/>
  <c r="D29" i="5"/>
  <c r="D23" i="5" s="1"/>
  <c r="D24" i="11"/>
  <c r="F26" i="7"/>
  <c r="D26" i="7" s="1"/>
  <c r="D15" i="11"/>
  <c r="J25" i="5"/>
  <c r="D25" i="5" s="1"/>
  <c r="D11" i="11"/>
  <c r="E10" i="11"/>
  <c r="D19" i="6" s="1"/>
  <c r="D134" i="11" l="1"/>
  <c r="D29" i="11"/>
  <c r="D10" i="11" s="1"/>
  <c r="J10" i="11"/>
  <c r="D14" i="6" s="1"/>
  <c r="D12" i="6" s="1"/>
  <c r="D30" i="6" s="1"/>
  <c r="D20" i="6" s="1"/>
  <c r="J238" i="5"/>
  <c r="K200" i="5"/>
  <c r="J200" i="5" s="1"/>
  <c r="D134" i="7"/>
  <c r="D26" i="5"/>
  <c r="L237" i="5" s="1"/>
  <c r="D10" i="7"/>
  <c r="F10" i="7"/>
  <c r="D36" i="6" s="1"/>
  <c r="D35" i="6" s="1"/>
  <c r="D53" i="6" s="1"/>
  <c r="D43" i="6" s="1"/>
  <c r="F238" i="5"/>
  <c r="G200" i="5"/>
  <c r="F200" i="5" s="1"/>
  <c r="D238" i="5" l="1"/>
  <c r="K237" i="5"/>
  <c r="K223" i="5" s="1"/>
  <c r="H237" i="5"/>
  <c r="H227" i="5" s="1"/>
  <c r="M237" i="5"/>
  <c r="M212" i="5" s="1"/>
  <c r="L229" i="5"/>
  <c r="L228" i="5"/>
  <c r="L227" i="5"/>
  <c r="L226" i="5"/>
  <c r="L225" i="5"/>
  <c r="L224" i="5"/>
  <c r="L223" i="5"/>
  <c r="L222" i="5"/>
  <c r="L221" i="5"/>
  <c r="L220" i="5"/>
  <c r="L219" i="5"/>
  <c r="L218" i="5"/>
  <c r="L217" i="5"/>
  <c r="L216" i="5"/>
  <c r="L215" i="5"/>
  <c r="L214" i="5"/>
  <c r="L234" i="5"/>
  <c r="L212" i="5"/>
  <c r="L199" i="5"/>
  <c r="L198" i="5"/>
  <c r="L18" i="5" s="1"/>
  <c r="L197" i="5"/>
  <c r="L196" i="5"/>
  <c r="L195" i="5"/>
  <c r="L233" i="5"/>
  <c r="L211" i="5"/>
  <c r="L193" i="5"/>
  <c r="L192" i="5" s="1"/>
  <c r="L232" i="5"/>
  <c r="L209" i="5"/>
  <c r="L208" i="5"/>
  <c r="L207" i="5"/>
  <c r="L191" i="5"/>
  <c r="L190" i="5"/>
  <c r="L204" i="5"/>
  <c r="L235" i="5"/>
  <c r="L205" i="5"/>
  <c r="L188" i="5"/>
  <c r="L187" i="5" s="1"/>
  <c r="L231" i="5"/>
  <c r="L202" i="5"/>
  <c r="L203" i="5"/>
  <c r="N237" i="5"/>
  <c r="G237" i="5"/>
  <c r="I237" i="5"/>
  <c r="P237" i="5"/>
  <c r="E237" i="5"/>
  <c r="O237" i="5"/>
  <c r="K197" i="5" l="1"/>
  <c r="K188" i="5"/>
  <c r="K208" i="5"/>
  <c r="K227" i="5"/>
  <c r="K193" i="5"/>
  <c r="K192" i="5" s="1"/>
  <c r="K207" i="5"/>
  <c r="K221" i="5"/>
  <c r="K212" i="5"/>
  <c r="J212" i="5" s="1"/>
  <c r="K204" i="5"/>
  <c r="K233" i="5"/>
  <c r="K228" i="5"/>
  <c r="K225" i="5"/>
  <c r="K214" i="5"/>
  <c r="K205" i="5"/>
  <c r="K234" i="5"/>
  <c r="M199" i="5"/>
  <c r="K191" i="5"/>
  <c r="K220" i="5"/>
  <c r="K196" i="5"/>
  <c r="K19" i="5" s="1"/>
  <c r="K226" i="5"/>
  <c r="M195" i="5"/>
  <c r="M17" i="5" s="1"/>
  <c r="M207" i="5"/>
  <c r="M208" i="5"/>
  <c r="J208" i="5" s="1"/>
  <c r="J237" i="5"/>
  <c r="H190" i="5"/>
  <c r="H232" i="5"/>
  <c r="H214" i="5"/>
  <c r="K224" i="5"/>
  <c r="K216" i="5"/>
  <c r="K211" i="5"/>
  <c r="K229" i="5"/>
  <c r="K198" i="5"/>
  <c r="K18" i="5" s="1"/>
  <c r="K218" i="5"/>
  <c r="K202" i="5"/>
  <c r="K21" i="5" s="1"/>
  <c r="K215" i="5"/>
  <c r="K231" i="5"/>
  <c r="K235" i="5"/>
  <c r="H222" i="5"/>
  <c r="K190" i="5"/>
  <c r="K209" i="5"/>
  <c r="K217" i="5"/>
  <c r="K195" i="5"/>
  <c r="K17" i="5" s="1"/>
  <c r="K199" i="5"/>
  <c r="K222" i="5"/>
  <c r="K203" i="5"/>
  <c r="K219" i="5"/>
  <c r="K232" i="5"/>
  <c r="H204" i="5"/>
  <c r="H198" i="5"/>
  <c r="H18" i="5" s="1"/>
  <c r="H226" i="5"/>
  <c r="H209" i="5"/>
  <c r="H218" i="5"/>
  <c r="H212" i="5"/>
  <c r="H235" i="5"/>
  <c r="H211" i="5"/>
  <c r="H220" i="5"/>
  <c r="H228" i="5"/>
  <c r="H188" i="5"/>
  <c r="H187" i="5" s="1"/>
  <c r="H207" i="5"/>
  <c r="H196" i="5"/>
  <c r="H216" i="5"/>
  <c r="H224" i="5"/>
  <c r="H205" i="5"/>
  <c r="H234" i="5"/>
  <c r="H208" i="5"/>
  <c r="H193" i="5"/>
  <c r="H192" i="5" s="1"/>
  <c r="H197" i="5"/>
  <c r="H233" i="5"/>
  <c r="H217" i="5"/>
  <c r="H221" i="5"/>
  <c r="H225" i="5"/>
  <c r="H229" i="5"/>
  <c r="H202" i="5"/>
  <c r="H21" i="5" s="1"/>
  <c r="H203" i="5"/>
  <c r="H191" i="5"/>
  <c r="H231" i="5"/>
  <c r="H195" i="5"/>
  <c r="H17" i="5" s="1"/>
  <c r="H199" i="5"/>
  <c r="H215" i="5"/>
  <c r="H219" i="5"/>
  <c r="H223" i="5"/>
  <c r="M216" i="5"/>
  <c r="M193" i="5"/>
  <c r="M192" i="5" s="1"/>
  <c r="M198" i="5"/>
  <c r="M18" i="5" s="1"/>
  <c r="M220" i="5"/>
  <c r="M214" i="5"/>
  <c r="M197" i="5"/>
  <c r="M202" i="5"/>
  <c r="M21" i="5" s="1"/>
  <c r="M231" i="5"/>
  <c r="M221" i="5"/>
  <c r="M226" i="5"/>
  <c r="M219" i="5"/>
  <c r="M203" i="5"/>
  <c r="M235" i="5"/>
  <c r="M225" i="5"/>
  <c r="M233" i="5"/>
  <c r="M215" i="5"/>
  <c r="M196" i="5"/>
  <c r="M227" i="5"/>
  <c r="M204" i="5"/>
  <c r="M224" i="5"/>
  <c r="M190" i="5"/>
  <c r="M209" i="5"/>
  <c r="M229" i="5"/>
  <c r="M218" i="5"/>
  <c r="J218" i="5" s="1"/>
  <c r="M211" i="5"/>
  <c r="J211" i="5" s="1"/>
  <c r="M234" i="5"/>
  <c r="M223" i="5"/>
  <c r="M188" i="5"/>
  <c r="M187" i="5" s="1"/>
  <c r="M205" i="5"/>
  <c r="J205" i="5" s="1"/>
  <c r="M228" i="5"/>
  <c r="J228" i="5" s="1"/>
  <c r="M191" i="5"/>
  <c r="M217" i="5"/>
  <c r="J217" i="5" s="1"/>
  <c r="M232" i="5"/>
  <c r="M222" i="5"/>
  <c r="L189" i="5"/>
  <c r="L206" i="5"/>
  <c r="P229" i="5"/>
  <c r="P228" i="5"/>
  <c r="P227" i="5"/>
  <c r="P226" i="5"/>
  <c r="P225" i="5"/>
  <c r="P224" i="5"/>
  <c r="P223" i="5"/>
  <c r="P222" i="5"/>
  <c r="P221" i="5"/>
  <c r="P220" i="5"/>
  <c r="P219" i="5"/>
  <c r="P218" i="5"/>
  <c r="P217" i="5"/>
  <c r="P216" i="5"/>
  <c r="P215" i="5"/>
  <c r="P214" i="5"/>
  <c r="P235" i="5"/>
  <c r="P231" i="5"/>
  <c r="P199" i="5"/>
  <c r="P198" i="5"/>
  <c r="P18" i="5" s="1"/>
  <c r="P197" i="5"/>
  <c r="P196" i="5"/>
  <c r="P195" i="5"/>
  <c r="P234" i="5"/>
  <c r="P212" i="5"/>
  <c r="P193" i="5"/>
  <c r="P192" i="5" s="1"/>
  <c r="P233" i="5"/>
  <c r="P211" i="5"/>
  <c r="P209" i="5"/>
  <c r="P208" i="5"/>
  <c r="P207" i="5"/>
  <c r="P191" i="5"/>
  <c r="P190" i="5"/>
  <c r="P205" i="5"/>
  <c r="P188" i="5"/>
  <c r="P187" i="5" s="1"/>
  <c r="P202" i="5"/>
  <c r="P203" i="5"/>
  <c r="P232" i="5"/>
  <c r="P204" i="5"/>
  <c r="F237" i="5"/>
  <c r="G235" i="5"/>
  <c r="G234" i="5"/>
  <c r="G233" i="5"/>
  <c r="G232" i="5"/>
  <c r="G231" i="5"/>
  <c r="G226" i="5"/>
  <c r="G222" i="5"/>
  <c r="G218" i="5"/>
  <c r="G214" i="5"/>
  <c r="G212" i="5"/>
  <c r="G205" i="5"/>
  <c r="G204" i="5"/>
  <c r="G203" i="5"/>
  <c r="G202" i="5"/>
  <c r="G188" i="5"/>
  <c r="G229" i="5"/>
  <c r="G225" i="5"/>
  <c r="G221" i="5"/>
  <c r="G217" i="5"/>
  <c r="G211" i="5"/>
  <c r="G199" i="5"/>
  <c r="G198" i="5"/>
  <c r="G197" i="5"/>
  <c r="G196" i="5"/>
  <c r="G195" i="5"/>
  <c r="G228" i="5"/>
  <c r="G224" i="5"/>
  <c r="G220" i="5"/>
  <c r="G216" i="5"/>
  <c r="G193" i="5"/>
  <c r="G215" i="5"/>
  <c r="G208" i="5"/>
  <c r="G191" i="5"/>
  <c r="G227" i="5"/>
  <c r="G209" i="5"/>
  <c r="G223" i="5"/>
  <c r="G219" i="5"/>
  <c r="G207" i="5"/>
  <c r="G190" i="5"/>
  <c r="L213" i="5"/>
  <c r="K187" i="5"/>
  <c r="L21" i="5"/>
  <c r="L201" i="5"/>
  <c r="L20" i="5" s="1"/>
  <c r="L19" i="5"/>
  <c r="L22" i="5"/>
  <c r="O235" i="5"/>
  <c r="O234" i="5"/>
  <c r="O233" i="5"/>
  <c r="O232" i="5"/>
  <c r="O231" i="5"/>
  <c r="O228" i="5"/>
  <c r="O224" i="5"/>
  <c r="O220" i="5"/>
  <c r="O216" i="5"/>
  <c r="O205" i="5"/>
  <c r="O204" i="5"/>
  <c r="O203" i="5"/>
  <c r="O202" i="5"/>
  <c r="O188" i="5"/>
  <c r="O187" i="5" s="1"/>
  <c r="O227" i="5"/>
  <c r="O223" i="5"/>
  <c r="O219" i="5"/>
  <c r="O215" i="5"/>
  <c r="O199" i="5"/>
  <c r="O198" i="5"/>
  <c r="O18" i="5" s="1"/>
  <c r="O197" i="5"/>
  <c r="O196" i="5"/>
  <c r="O195" i="5"/>
  <c r="O226" i="5"/>
  <c r="O222" i="5"/>
  <c r="O218" i="5"/>
  <c r="O214" i="5"/>
  <c r="O212" i="5"/>
  <c r="O193" i="5"/>
  <c r="O192" i="5" s="1"/>
  <c r="O225" i="5"/>
  <c r="O221" i="5"/>
  <c r="O211" i="5"/>
  <c r="O207" i="5"/>
  <c r="O190" i="5"/>
  <c r="O217" i="5"/>
  <c r="O208" i="5"/>
  <c r="O191" i="5"/>
  <c r="O229" i="5"/>
  <c r="O209" i="5"/>
  <c r="N232" i="5"/>
  <c r="N229" i="5"/>
  <c r="N225" i="5"/>
  <c r="N221" i="5"/>
  <c r="N217" i="5"/>
  <c r="N211" i="5"/>
  <c r="N209" i="5"/>
  <c r="N208" i="5"/>
  <c r="N207" i="5"/>
  <c r="N191" i="5"/>
  <c r="N190" i="5"/>
  <c r="N235" i="5"/>
  <c r="N231" i="5"/>
  <c r="N228" i="5"/>
  <c r="N224" i="5"/>
  <c r="N220" i="5"/>
  <c r="N216" i="5"/>
  <c r="N205" i="5"/>
  <c r="N204" i="5"/>
  <c r="N203" i="5"/>
  <c r="N202" i="5"/>
  <c r="N188" i="5"/>
  <c r="N187" i="5" s="1"/>
  <c r="N234" i="5"/>
  <c r="N227" i="5"/>
  <c r="N223" i="5"/>
  <c r="N219" i="5"/>
  <c r="N215" i="5"/>
  <c r="N199" i="5"/>
  <c r="N198" i="5"/>
  <c r="N18" i="5" s="1"/>
  <c r="N197" i="5"/>
  <c r="N196" i="5"/>
  <c r="N195" i="5"/>
  <c r="N218" i="5"/>
  <c r="N233" i="5"/>
  <c r="N214" i="5"/>
  <c r="N226" i="5"/>
  <c r="N222" i="5"/>
  <c r="N212" i="5"/>
  <c r="N193" i="5"/>
  <c r="N192" i="5" s="1"/>
  <c r="L194" i="5"/>
  <c r="L16" i="5" s="1"/>
  <c r="L17" i="5"/>
  <c r="E212" i="5"/>
  <c r="E211" i="5"/>
  <c r="E235" i="5"/>
  <c r="E231" i="5"/>
  <c r="E228" i="5"/>
  <c r="E224" i="5"/>
  <c r="E220" i="5"/>
  <c r="E216" i="5"/>
  <c r="E193" i="5"/>
  <c r="E192" i="5" s="1"/>
  <c r="E234" i="5"/>
  <c r="E227" i="5"/>
  <c r="E223" i="5"/>
  <c r="E219" i="5"/>
  <c r="E215" i="5"/>
  <c r="E209" i="5"/>
  <c r="E208" i="5"/>
  <c r="E207" i="5"/>
  <c r="E191" i="5"/>
  <c r="E190" i="5"/>
  <c r="E233" i="5"/>
  <c r="E226" i="5"/>
  <c r="E222" i="5"/>
  <c r="E218" i="5"/>
  <c r="E214" i="5"/>
  <c r="E205" i="5"/>
  <c r="E204" i="5"/>
  <c r="E203" i="5"/>
  <c r="E202" i="5"/>
  <c r="E188" i="5"/>
  <c r="E187" i="5" s="1"/>
  <c r="E217" i="5"/>
  <c r="E197" i="5"/>
  <c r="E232" i="5"/>
  <c r="E229" i="5"/>
  <c r="E198" i="5"/>
  <c r="E18" i="5" s="1"/>
  <c r="E225" i="5"/>
  <c r="E199" i="5"/>
  <c r="E195" i="5"/>
  <c r="E221" i="5"/>
  <c r="E196" i="5"/>
  <c r="I212" i="5"/>
  <c r="I211" i="5"/>
  <c r="I232" i="5"/>
  <c r="I229" i="5"/>
  <c r="I225" i="5"/>
  <c r="I221" i="5"/>
  <c r="I217" i="5"/>
  <c r="I193" i="5"/>
  <c r="I192" i="5" s="1"/>
  <c r="I235" i="5"/>
  <c r="I231" i="5"/>
  <c r="I228" i="5"/>
  <c r="I224" i="5"/>
  <c r="I220" i="5"/>
  <c r="I216" i="5"/>
  <c r="I209" i="5"/>
  <c r="I208" i="5"/>
  <c r="I207" i="5"/>
  <c r="I191" i="5"/>
  <c r="I190" i="5"/>
  <c r="I234" i="5"/>
  <c r="I227" i="5"/>
  <c r="I223" i="5"/>
  <c r="I219" i="5"/>
  <c r="I215" i="5"/>
  <c r="I205" i="5"/>
  <c r="I204" i="5"/>
  <c r="I203" i="5"/>
  <c r="I202" i="5"/>
  <c r="I188" i="5"/>
  <c r="I187" i="5" s="1"/>
  <c r="I222" i="5"/>
  <c r="I198" i="5"/>
  <c r="I18" i="5" s="1"/>
  <c r="I218" i="5"/>
  <c r="I199" i="5"/>
  <c r="I195" i="5"/>
  <c r="I233" i="5"/>
  <c r="I214" i="5"/>
  <c r="I196" i="5"/>
  <c r="I226" i="5"/>
  <c r="I197" i="5"/>
  <c r="L230" i="5"/>
  <c r="L210" i="5"/>
  <c r="J193" i="5" l="1"/>
  <c r="J207" i="5"/>
  <c r="J227" i="5"/>
  <c r="J197" i="5"/>
  <c r="J220" i="5"/>
  <c r="J215" i="5"/>
  <c r="K189" i="5"/>
  <c r="J229" i="5"/>
  <c r="J233" i="5"/>
  <c r="J199" i="5"/>
  <c r="J232" i="5"/>
  <c r="J190" i="5"/>
  <c r="J221" i="5"/>
  <c r="J191" i="5"/>
  <c r="J204" i="5"/>
  <c r="J225" i="5"/>
  <c r="J226" i="5"/>
  <c r="D237" i="5"/>
  <c r="J214" i="5"/>
  <c r="K210" i="5"/>
  <c r="M206" i="5"/>
  <c r="J219" i="5"/>
  <c r="J209" i="5"/>
  <c r="K230" i="5"/>
  <c r="J195" i="5"/>
  <c r="J17" i="5" s="1"/>
  <c r="H189" i="5"/>
  <c r="K194" i="5"/>
  <c r="K16" i="5" s="1"/>
  <c r="K206" i="5"/>
  <c r="J224" i="5"/>
  <c r="J231" i="5"/>
  <c r="K201" i="5"/>
  <c r="K20" i="5" s="1"/>
  <c r="K22" i="5"/>
  <c r="K213" i="5"/>
  <c r="J222" i="5"/>
  <c r="H206" i="5"/>
  <c r="J235" i="5"/>
  <c r="J216" i="5"/>
  <c r="H213" i="5"/>
  <c r="H210" i="5"/>
  <c r="J192" i="5"/>
  <c r="H230" i="5"/>
  <c r="H22" i="5"/>
  <c r="H194" i="5"/>
  <c r="H16" i="5" s="1"/>
  <c r="H201" i="5"/>
  <c r="H20" i="5" s="1"/>
  <c r="H19" i="5"/>
  <c r="J198" i="5"/>
  <c r="J18" i="5" s="1"/>
  <c r="M210" i="5"/>
  <c r="M201" i="5"/>
  <c r="M20" i="5" s="1"/>
  <c r="J203" i="5"/>
  <c r="J202" i="5"/>
  <c r="J21" i="5" s="1"/>
  <c r="O210" i="5"/>
  <c r="M22" i="5"/>
  <c r="M194" i="5"/>
  <c r="M16" i="5" s="1"/>
  <c r="J196" i="5"/>
  <c r="J19" i="5" s="1"/>
  <c r="M19" i="5"/>
  <c r="J188" i="5"/>
  <c r="J187" i="5" s="1"/>
  <c r="M189" i="5"/>
  <c r="M213" i="5"/>
  <c r="M230" i="5"/>
  <c r="J223" i="5"/>
  <c r="J234" i="5"/>
  <c r="I230" i="5"/>
  <c r="I210" i="5"/>
  <c r="E206" i="5"/>
  <c r="N230" i="5"/>
  <c r="N206" i="5"/>
  <c r="E189" i="5"/>
  <c r="N189" i="5"/>
  <c r="O189" i="5"/>
  <c r="F209" i="5"/>
  <c r="F215" i="5"/>
  <c r="F224" i="5"/>
  <c r="F197" i="5"/>
  <c r="F217" i="5"/>
  <c r="F205" i="5"/>
  <c r="F233" i="5"/>
  <c r="P189" i="5"/>
  <c r="I194" i="5"/>
  <c r="I16" i="5" s="1"/>
  <c r="I17" i="5"/>
  <c r="G187" i="5"/>
  <c r="F188" i="5"/>
  <c r="F187" i="5" s="1"/>
  <c r="I201" i="5"/>
  <c r="I20" i="5" s="1"/>
  <c r="I21" i="5"/>
  <c r="N213" i="5"/>
  <c r="N22" i="5"/>
  <c r="N19" i="5"/>
  <c r="O19" i="5"/>
  <c r="O22" i="5"/>
  <c r="F219" i="5"/>
  <c r="F191" i="5"/>
  <c r="F216" i="5"/>
  <c r="G194" i="5"/>
  <c r="F195" i="5"/>
  <c r="F17" i="5" s="1"/>
  <c r="G17" i="5"/>
  <c r="F199" i="5"/>
  <c r="F225" i="5"/>
  <c r="F203" i="5"/>
  <c r="F214" i="5"/>
  <c r="G213" i="5"/>
  <c r="G230" i="5"/>
  <c r="F231" i="5"/>
  <c r="F235" i="5"/>
  <c r="P206" i="5"/>
  <c r="P194" i="5"/>
  <c r="P16" i="5" s="1"/>
  <c r="P17" i="5"/>
  <c r="I213" i="5"/>
  <c r="I189" i="5"/>
  <c r="E17" i="5"/>
  <c r="E194" i="5"/>
  <c r="E16" i="5" s="1"/>
  <c r="E210" i="5"/>
  <c r="N210" i="5"/>
  <c r="O206" i="5"/>
  <c r="O201" i="5"/>
  <c r="O20" i="5" s="1"/>
  <c r="O21" i="5"/>
  <c r="O230" i="5"/>
  <c r="L186" i="5"/>
  <c r="F223" i="5"/>
  <c r="F208" i="5"/>
  <c r="F220" i="5"/>
  <c r="F196" i="5"/>
  <c r="G19" i="5"/>
  <c r="G22" i="5"/>
  <c r="F211" i="5"/>
  <c r="G210" i="5"/>
  <c r="F229" i="5"/>
  <c r="F204" i="5"/>
  <c r="F218" i="5"/>
  <c r="F232" i="5"/>
  <c r="P19" i="5"/>
  <c r="P22" i="5"/>
  <c r="P230" i="5"/>
  <c r="N201" i="5"/>
  <c r="N20" i="5" s="1"/>
  <c r="N21" i="5"/>
  <c r="F190" i="5"/>
  <c r="G189" i="5"/>
  <c r="F222" i="5"/>
  <c r="I19" i="5"/>
  <c r="I22" i="5"/>
  <c r="I206" i="5"/>
  <c r="E19" i="5"/>
  <c r="E22" i="5"/>
  <c r="E201" i="5"/>
  <c r="E20" i="5" s="1"/>
  <c r="E21" i="5"/>
  <c r="E213" i="5"/>
  <c r="E230" i="5"/>
  <c r="N194" i="5"/>
  <c r="N16" i="5" s="1"/>
  <c r="N17" i="5"/>
  <c r="O213" i="5"/>
  <c r="O194" i="5"/>
  <c r="O16" i="5" s="1"/>
  <c r="O17" i="5"/>
  <c r="F207" i="5"/>
  <c r="G206" i="5"/>
  <c r="F227" i="5"/>
  <c r="G192" i="5"/>
  <c r="F192" i="5" s="1"/>
  <c r="F193" i="5"/>
  <c r="F228" i="5"/>
  <c r="F198" i="5"/>
  <c r="F18" i="5" s="1"/>
  <c r="G18" i="5"/>
  <c r="F221" i="5"/>
  <c r="G201" i="5"/>
  <c r="F202" i="5"/>
  <c r="F21" i="5" s="1"/>
  <c r="G21" i="5"/>
  <c r="F212" i="5"/>
  <c r="F226" i="5"/>
  <c r="F234" i="5"/>
  <c r="P201" i="5"/>
  <c r="P20" i="5" s="1"/>
  <c r="P21" i="5"/>
  <c r="P210" i="5"/>
  <c r="P213" i="5"/>
  <c r="J189" i="5" l="1"/>
  <c r="J206" i="5"/>
  <c r="J210" i="5"/>
  <c r="J213" i="5"/>
  <c r="J201" i="5"/>
  <c r="J20" i="5" s="1"/>
  <c r="J230" i="5"/>
  <c r="K186" i="5"/>
  <c r="K23" i="5" s="1"/>
  <c r="D45" i="4" s="1"/>
  <c r="F189" i="5"/>
  <c r="J194" i="5"/>
  <c r="J16" i="5" s="1"/>
  <c r="M186" i="5"/>
  <c r="M27" i="5" s="1"/>
  <c r="M24" i="5" s="1"/>
  <c r="H186" i="5"/>
  <c r="H23" i="5" s="1"/>
  <c r="J22" i="5"/>
  <c r="F210" i="5"/>
  <c r="I186" i="5"/>
  <c r="I23" i="5" s="1"/>
  <c r="F230" i="5"/>
  <c r="P186" i="5"/>
  <c r="F213" i="5"/>
  <c r="G186" i="5"/>
  <c r="N186" i="5"/>
  <c r="E38" i="9"/>
  <c r="F201" i="5"/>
  <c r="F20" i="5" s="1"/>
  <c r="G20" i="5"/>
  <c r="F206" i="5"/>
  <c r="F19" i="5"/>
  <c r="F22" i="5"/>
  <c r="O186" i="5"/>
  <c r="E186" i="5"/>
  <c r="L27" i="5"/>
  <c r="L24" i="5" s="1"/>
  <c r="L23" i="5"/>
  <c r="D46" i="4" s="1"/>
  <c r="F194" i="5"/>
  <c r="F16" i="5" s="1"/>
  <c r="G16" i="5"/>
  <c r="K27" i="5" l="1"/>
  <c r="K24" i="5" s="1"/>
  <c r="M23" i="5"/>
  <c r="D47" i="4" s="1"/>
  <c r="J186" i="5"/>
  <c r="J23" i="5" s="1"/>
  <c r="D44" i="4" s="1"/>
  <c r="D19" i="4" s="1"/>
  <c r="D79" i="4" s="1"/>
  <c r="D93" i="4" s="1"/>
  <c r="H27" i="5"/>
  <c r="H24" i="5" s="1"/>
  <c r="I27" i="5"/>
  <c r="I24" i="5" s="1"/>
  <c r="F186" i="5"/>
  <c r="F23" i="5" s="1"/>
  <c r="D43" i="4" s="1"/>
  <c r="D76" i="4" s="1"/>
  <c r="D90" i="4" s="1"/>
  <c r="E27" i="5"/>
  <c r="E23" i="5"/>
  <c r="D49" i="4" s="1"/>
  <c r="D82" i="4" s="1"/>
  <c r="D96" i="4" s="1"/>
  <c r="N27" i="5"/>
  <c r="N24" i="5" s="1"/>
  <c r="N23" i="5"/>
  <c r="D48" i="4" s="1"/>
  <c r="D81" i="4" s="1"/>
  <c r="D95" i="4" s="1"/>
  <c r="O27" i="5"/>
  <c r="O24" i="5" s="1"/>
  <c r="O23" i="5"/>
  <c r="D51" i="4" s="1"/>
  <c r="G27" i="5"/>
  <c r="G23" i="5"/>
  <c r="E37" i="9"/>
  <c r="E39" i="9"/>
  <c r="P27" i="5"/>
  <c r="P24" i="5" s="1"/>
  <c r="P23" i="5"/>
  <c r="D52" i="4" s="1"/>
  <c r="D85" i="4" s="1"/>
  <c r="J27" i="5" l="1"/>
  <c r="J24" i="5" s="1"/>
  <c r="D23" i="4"/>
  <c r="D80" i="4" s="1"/>
  <c r="D94" i="4" s="1"/>
  <c r="D16" i="4"/>
  <c r="D78" i="4" s="1"/>
  <c r="D92" i="4" s="1"/>
  <c r="D50" i="4"/>
  <c r="D83" i="4" s="1"/>
  <c r="D84" i="4"/>
  <c r="D42" i="4"/>
  <c r="F27" i="5"/>
  <c r="F24" i="5" s="1"/>
  <c r="G24" i="5"/>
  <c r="E24" i="5"/>
  <c r="D15" i="4" l="1"/>
  <c r="D77" i="4" s="1"/>
  <c r="D91" i="4" s="1"/>
  <c r="D41" i="4"/>
  <c r="D24" i="5"/>
  <c r="D27" i="5"/>
  <c r="D11" i="4" l="1"/>
  <c r="D75" i="4" s="1"/>
  <c r="D89" i="4" s="1"/>
</calcChain>
</file>

<file path=xl/sharedStrings.xml><?xml version="1.0" encoding="utf-8"?>
<sst xmlns="http://schemas.openxmlformats.org/spreadsheetml/2006/main" count="2531" uniqueCount="1247">
  <si>
    <t>Ūkio subjektas: UAB "Neringos vanduo"</t>
  </si>
  <si>
    <t>Ataskaitinis laikotarpis: 2020-01-01 - 2021-01-01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</si>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</sst>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L_t_-;\-* #,##0.00\ _L_t_-;_-* &quot;-&quot;??\ _L_t_-;_-@_-"/>
  </numFmts>
  <fonts count="47"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173" fontId="1" fillId="0" borderId="0" applyFont="0" applyFill="0" applyBorder="0" applyAlignment="0" applyProtection="0"/>
    <xf numFmtId="0" fontId="23" fillId="0" borderId="0"/>
  </cellStyleXfs>
  <cellXfs count="1454">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166" fontId="7" fillId="0" borderId="23" xfId="1" applyNumberFormat="1" applyFont="1" applyBorder="1" applyAlignment="1" applyProtection="1">
      <alignment horizontal="center" vertical="center"/>
      <protection locked="0"/>
    </xf>
    <xf numFmtId="166" fontId="7" fillId="0" borderId="26" xfId="1" applyNumberFormat="1" applyFont="1" applyBorder="1" applyAlignment="1" applyProtection="1">
      <alignment horizontal="center" vertical="center"/>
      <protection locked="0"/>
    </xf>
    <xf numFmtId="166" fontId="7" fillId="0" borderId="23" xfId="1" applyNumberFormat="1" applyFont="1" applyBorder="1" applyAlignment="1" applyProtection="1">
      <alignment horizontal="center" vertical="center"/>
      <protection locked="0"/>
    </xf>
    <xf numFmtId="166" fontId="7" fillId="0" borderId="23" xfId="1" applyNumberFormat="1" applyFont="1" applyBorder="1" applyAlignment="1" applyProtection="1">
      <alignment horizontal="center" vertical="center"/>
      <protection locked="0"/>
    </xf>
    <xf numFmtId="166" fontId="7" fillId="0" borderId="23" xfId="1" applyNumberFormat="1" applyFont="1" applyBorder="1" applyAlignment="1" applyProtection="1">
      <alignment horizontal="center" vertical="center"/>
      <protection locked="0"/>
    </xf>
    <xf numFmtId="166" fontId="7" fillId="0" borderId="26" xfId="1" applyNumberFormat="1" applyFont="1" applyBorder="1" applyAlignment="1" applyProtection="1">
      <alignment horizontal="center" vertical="center"/>
      <protection locked="0"/>
    </xf>
    <xf numFmtId="166" fontId="7" fillId="0" borderId="23" xfId="1" applyNumberFormat="1" applyFont="1" applyBorder="1" applyAlignment="1" applyProtection="1">
      <alignment horizontal="center" vertical="center"/>
      <protection locked="0"/>
    </xf>
    <xf numFmtId="166" fontId="7" fillId="0" borderId="26" xfId="1" applyNumberFormat="1" applyFont="1" applyBorder="1" applyAlignment="1" applyProtection="1">
      <alignment horizontal="center" vertical="center"/>
      <protection locked="0"/>
    </xf>
    <xf numFmtId="166" fontId="7" fillId="3" borderId="23" xfId="1" applyNumberFormat="1" applyFont="1" applyFill="1" applyBorder="1" applyAlignment="1" applyProtection="1">
      <alignment horizontal="center" vertical="center"/>
      <protection locked="0"/>
    </xf>
    <xf numFmtId="4" fontId="11" fillId="0" borderId="23"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0" borderId="23"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0" borderId="56" xfId="0" applyNumberFormat="1" applyFont="1" applyBorder="1" applyAlignment="1" applyProtection="1">
      <alignment horizontal="center" vertical="center" wrapText="1"/>
      <protection locked="0"/>
    </xf>
    <xf numFmtId="4" fontId="11" fillId="0" borderId="23"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56" xfId="0" applyNumberFormat="1" applyFont="1" applyBorder="1" applyAlignment="1" applyProtection="1">
      <alignment horizontal="center" vertical="center" wrapText="1"/>
      <protection locked="0"/>
    </xf>
    <xf numFmtId="4" fontId="11" fillId="0" borderId="23"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23"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56" xfId="0" applyNumberFormat="1" applyFont="1" applyBorder="1" applyAlignment="1" applyProtection="1">
      <alignment horizontal="center" vertical="center" wrapText="1"/>
      <protection locked="0"/>
    </xf>
    <xf numFmtId="4" fontId="11" fillId="0" borderId="23"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23"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11" fillId="0" borderId="56" xfId="0" applyNumberFormat="1" applyFont="1" applyBorder="1" applyAlignment="1" applyProtection="1">
      <alignment horizontal="center" vertical="center" wrapText="1"/>
      <protection locked="0"/>
    </xf>
    <xf numFmtId="4" fontId="11" fillId="0" borderId="52" xfId="0" applyNumberFormat="1" applyFont="1" applyBorder="1" applyAlignment="1" applyProtection="1">
      <alignment horizontal="center" vertical="center" wrapText="1"/>
      <protection locked="0"/>
    </xf>
    <xf numFmtId="4" fontId="11" fillId="0" borderId="59" xfId="0" applyNumberFormat="1" applyFont="1" applyBorder="1" applyAlignment="1" applyProtection="1">
      <alignment horizontal="center" vertical="center" wrapText="1"/>
      <protection locked="0"/>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166" fontId="11" fillId="0" borderId="30" xfId="0" applyNumberFormat="1" applyFont="1" applyBorder="1" applyAlignment="1" applyProtection="1">
      <alignment horizontal="center" vertical="center" wrapText="1"/>
      <protection locked="0"/>
    </xf>
    <xf numFmtId="166" fontId="11" fillId="0" borderId="30" xfId="0" applyNumberFormat="1" applyFont="1" applyBorder="1" applyAlignment="1" applyProtection="1">
      <alignment horizontal="center" vertical="center" wrapText="1"/>
      <protection locked="0"/>
    </xf>
    <xf numFmtId="166" fontId="11" fillId="0" borderId="30" xfId="0" applyNumberFormat="1" applyFont="1" applyBorder="1" applyAlignment="1" applyProtection="1">
      <alignment horizontal="center" vertical="center" wrapText="1"/>
      <protection locked="0"/>
    </xf>
    <xf numFmtId="166" fontId="11" fillId="0" borderId="30" xfId="0" applyNumberFormat="1" applyFont="1" applyBorder="1" applyAlignment="1" applyProtection="1">
      <alignment horizontal="center" vertical="center" wrapText="1"/>
      <protection locked="0"/>
    </xf>
    <xf numFmtId="166" fontId="11" fillId="0" borderId="32" xfId="0" applyNumberFormat="1" applyFont="1" applyBorder="1" applyAlignment="1" applyProtection="1">
      <alignment horizontal="center" vertical="center" wrapText="1"/>
      <protection locked="0"/>
    </xf>
    <xf numFmtId="166" fontId="11" fillId="0" borderId="30" xfId="0" applyNumberFormat="1" applyFont="1" applyBorder="1" applyAlignment="1" applyProtection="1">
      <alignment horizontal="center" vertical="center" wrapText="1"/>
      <protection locked="0"/>
    </xf>
    <xf numFmtId="166" fontId="11" fillId="0" borderId="32" xfId="0" applyNumberFormat="1" applyFont="1" applyBorder="1" applyAlignment="1" applyProtection="1">
      <alignment horizontal="center" vertical="center" wrapText="1"/>
      <protection locked="0"/>
    </xf>
    <xf numFmtId="166" fontId="11" fillId="0" borderId="30"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166" fontId="16" fillId="0" borderId="32" xfId="0" applyNumberFormat="1" applyFont="1" applyBorder="1" applyAlignment="1" applyProtection="1">
      <alignment horizontal="center" vertical="center" wrapText="1"/>
      <protection locked="0"/>
    </xf>
    <xf numFmtId="4" fontId="11" fillId="0" borderId="23"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1" fillId="0" borderId="30" xfId="0" applyNumberFormat="1" applyFont="1" applyBorder="1" applyAlignment="1" applyProtection="1">
      <alignment horizontal="center" vertical="center" wrapText="1"/>
      <protection locked="0"/>
    </xf>
    <xf numFmtId="166" fontId="11" fillId="0" borderId="32" xfId="0" applyNumberFormat="1" applyFont="1" applyBorder="1" applyAlignment="1" applyProtection="1">
      <alignment horizontal="center" vertical="center" wrapText="1"/>
      <protection locked="0"/>
    </xf>
    <xf numFmtId="166" fontId="11" fillId="0" borderId="29" xfId="0" applyNumberFormat="1" applyFont="1" applyBorder="1" applyAlignment="1" applyProtection="1">
      <alignment horizontal="center" vertical="center" wrapText="1"/>
      <protection locked="0"/>
    </xf>
    <xf numFmtId="2" fontId="11" fillId="0" borderId="52" xfId="0" applyNumberFormat="1" applyFont="1" applyBorder="1" applyAlignment="1" applyProtection="1">
      <alignment horizontal="center" vertical="center" wrapText="1"/>
      <protection locked="0"/>
    </xf>
    <xf numFmtId="2" fontId="11" fillId="0" borderId="83" xfId="0" applyNumberFormat="1" applyFont="1" applyBorder="1" applyAlignment="1" applyProtection="1">
      <alignment horizontal="center" vertical="center" wrapText="1"/>
      <protection locked="0"/>
    </xf>
    <xf numFmtId="2" fontId="11" fillId="0" borderId="41" xfId="0" applyNumberFormat="1" applyFont="1" applyBorder="1" applyAlignment="1" applyProtection="1">
      <alignment horizontal="center" vertical="center" wrapText="1"/>
      <protection locked="0"/>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169" fontId="16" fillId="0" borderId="24" xfId="9" applyNumberFormat="1" applyFont="1" applyBorder="1" applyAlignment="1" applyProtection="1">
      <alignment horizontal="center" vertical="center"/>
      <protection locked="0"/>
    </xf>
    <xf numFmtId="169" fontId="11" fillId="0" borderId="24" xfId="9" applyNumberFormat="1" applyFont="1" applyBorder="1" applyAlignment="1" applyProtection="1">
      <alignment horizontal="center" vertical="center"/>
      <protection locked="0"/>
    </xf>
    <xf numFmtId="3" fontId="11" fillId="0" borderId="24" xfId="9" applyNumberFormat="1" applyFont="1" applyBorder="1" applyAlignment="1" applyProtection="1">
      <alignment horizontal="center" vertical="center"/>
      <protection locked="0"/>
    </xf>
    <xf numFmtId="169" fontId="16" fillId="0" borderId="35" xfId="9" applyNumberFormat="1" applyFont="1" applyBorder="1" applyAlignment="1" applyProtection="1">
      <alignment horizontal="center" vertical="center"/>
      <protection locked="0"/>
    </xf>
    <xf numFmtId="3" fontId="16" fillId="0" borderId="24" xfId="9" applyNumberFormat="1" applyFont="1" applyBorder="1" applyAlignment="1" applyProtection="1">
      <alignment horizontal="center" vertical="center"/>
      <protection locked="0"/>
    </xf>
    <xf numFmtId="169" fontId="21" fillId="0" borderId="24" xfId="9" applyNumberFormat="1" applyFont="1" applyBorder="1" applyAlignment="1" applyProtection="1">
      <alignment horizontal="center" vertical="center"/>
      <protection locked="0"/>
    </xf>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cellXfs>
  <cellStyles count="10">
    <cellStyle name="Comma 2" xfId="8"/>
    <cellStyle name="Įprastas" xfId="0" builtinId="0"/>
    <cellStyle name="Kablelis" xfId="3" builtinId="3"/>
    <cellStyle name="Normal 2" xfId="1"/>
    <cellStyle name="Normal 2 2" xfId="4"/>
    <cellStyle name="Normal 2 3" xfId="5"/>
    <cellStyle name="Normal 2 4" xfId="6"/>
    <cellStyle name="Normal 2 5" xfId="7"/>
    <cellStyle name="Normal 2 6" xfId="9"/>
    <cellStyle name="Normal 4" xfId="2"/>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9"/>
  <sheetViews>
    <sheetView workbookViewId="0">
      <selection activeCell="I11" sqref="I11"/>
    </sheetView>
  </sheetViews>
  <sheetFormatPr defaultRowHeight="15" x14ac:dyDescent="0.2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x14ac:dyDescent="0.25">
      <c r="A1" s="1363" t="s">
        <v>0</v>
      </c>
      <c r="B1" s="1364"/>
      <c r="C1" s="1364"/>
      <c r="D1" s="1364"/>
      <c r="E1" s="1365"/>
    </row>
    <row r="2" spans="1:5" s="1" customFormat="1" x14ac:dyDescent="0.25">
      <c r="A2" s="1363" t="s">
        <v>1</v>
      </c>
      <c r="B2" s="1364"/>
      <c r="C2" s="1364"/>
      <c r="D2" s="1364"/>
      <c r="E2" s="1365"/>
    </row>
    <row r="3" spans="1:5" s="1" customFormat="1" x14ac:dyDescent="0.25">
      <c r="A3" s="1366"/>
      <c r="B3" s="1367"/>
      <c r="C3" s="1367"/>
      <c r="D3" s="1367"/>
      <c r="E3" s="1368"/>
    </row>
    <row r="4" spans="1:5" s="1" customFormat="1" x14ac:dyDescent="0.25">
      <c r="A4" s="7"/>
      <c r="B4" s="7"/>
      <c r="C4" s="7"/>
      <c r="D4" s="7"/>
      <c r="E4" s="7"/>
    </row>
    <row r="5" spans="1:5" s="1" customFormat="1" x14ac:dyDescent="0.25">
      <c r="A5" s="1369" t="s">
        <v>2</v>
      </c>
      <c r="B5" s="1370"/>
      <c r="C5" s="1370"/>
      <c r="D5" s="1370"/>
      <c r="E5" s="1371"/>
    </row>
    <row r="6" spans="1:5" s="1" customFormat="1" x14ac:dyDescent="0.25">
      <c r="A6" s="7"/>
      <c r="B6" s="7"/>
      <c r="C6" s="7"/>
      <c r="D6" s="7"/>
      <c r="E6" s="7"/>
    </row>
    <row r="8" spans="1:5" s="1" customFormat="1" ht="29.25" customHeight="1" thickBot="1" x14ac:dyDescent="0.3">
      <c r="C8" s="1362" t="s">
        <v>3</v>
      </c>
      <c r="D8" s="1362"/>
      <c r="E8" s="1362"/>
    </row>
    <row r="9" spans="1:5" s="1" customFormat="1" ht="15.75" thickBot="1" x14ac:dyDescent="0.3">
      <c r="C9" s="8" t="s">
        <v>4</v>
      </c>
      <c r="D9" s="8" t="s">
        <v>5</v>
      </c>
      <c r="E9" s="9" t="s">
        <v>6</v>
      </c>
    </row>
    <row r="10" spans="1:5" s="1" customFormat="1" x14ac:dyDescent="0.25">
      <c r="C10" s="10" t="s">
        <v>7</v>
      </c>
      <c r="D10" s="11" t="s">
        <v>8</v>
      </c>
      <c r="E10" s="12"/>
    </row>
    <row r="11" spans="1:5" s="1" customFormat="1" x14ac:dyDescent="0.25">
      <c r="C11" s="10" t="s">
        <v>9</v>
      </c>
      <c r="D11" s="13" t="s">
        <v>10</v>
      </c>
      <c r="E11" s="10">
        <v>4</v>
      </c>
    </row>
    <row r="12" spans="1:5" s="1" customFormat="1" x14ac:dyDescent="0.25">
      <c r="C12" s="10" t="s">
        <v>9</v>
      </c>
      <c r="D12" s="13" t="s">
        <v>11</v>
      </c>
      <c r="E12" s="14" t="s">
        <v>12</v>
      </c>
    </row>
    <row r="13" spans="1:5" s="1" customFormat="1" ht="15.75" thickBot="1" x14ac:dyDescent="0.3">
      <c r="C13" s="15" t="s">
        <v>9</v>
      </c>
      <c r="D13" s="16" t="s">
        <v>13</v>
      </c>
      <c r="E13" s="15" t="s">
        <v>12</v>
      </c>
    </row>
    <row r="14" spans="1:5" s="1" customFormat="1" x14ac:dyDescent="0.25">
      <c r="C14" s="17" t="s">
        <v>14</v>
      </c>
      <c r="D14" s="18" t="s">
        <v>15</v>
      </c>
      <c r="E14" s="17"/>
    </row>
    <row r="15" spans="1:5" s="1" customFormat="1" x14ac:dyDescent="0.25">
      <c r="C15" s="19" t="s">
        <v>16</v>
      </c>
      <c r="D15" s="20" t="s">
        <v>17</v>
      </c>
      <c r="E15" s="19" t="s">
        <v>18</v>
      </c>
    </row>
    <row r="16" spans="1:5" s="1" customFormat="1" x14ac:dyDescent="0.25">
      <c r="C16" s="10" t="s">
        <v>19</v>
      </c>
      <c r="D16" s="21" t="s">
        <v>20</v>
      </c>
      <c r="E16" s="10" t="s">
        <v>21</v>
      </c>
    </row>
    <row r="17" spans="3:5" s="1" customFormat="1" x14ac:dyDescent="0.25">
      <c r="C17" s="10" t="s">
        <v>22</v>
      </c>
      <c r="D17" s="21" t="s">
        <v>23</v>
      </c>
      <c r="E17" s="10">
        <v>50</v>
      </c>
    </row>
    <row r="18" spans="3:5" s="1" customFormat="1" ht="51.75" thickBot="1" x14ac:dyDescent="0.3">
      <c r="C18" s="15" t="s">
        <v>24</v>
      </c>
      <c r="D18" s="22" t="s">
        <v>25</v>
      </c>
      <c r="E18" s="15">
        <v>35</v>
      </c>
    </row>
    <row r="19" spans="3:5" s="1" customFormat="1" x14ac:dyDescent="0.25">
      <c r="C19" s="17" t="s">
        <v>26</v>
      </c>
      <c r="D19" s="18" t="s">
        <v>27</v>
      </c>
      <c r="E19" s="17"/>
    </row>
    <row r="20" spans="3:5" s="1" customFormat="1" ht="51" x14ac:dyDescent="0.25">
      <c r="C20" s="15" t="s">
        <v>28</v>
      </c>
      <c r="D20" s="22" t="s">
        <v>29</v>
      </c>
      <c r="E20" s="15">
        <v>10</v>
      </c>
    </row>
    <row r="21" spans="3:5" s="1" customFormat="1" ht="15.75" thickBot="1" x14ac:dyDescent="0.3">
      <c r="C21" s="23" t="s">
        <v>30</v>
      </c>
      <c r="D21" s="24" t="s">
        <v>31</v>
      </c>
      <c r="E21" s="23">
        <v>5</v>
      </c>
    </row>
    <row r="22" spans="3:5" s="1" customFormat="1" x14ac:dyDescent="0.25">
      <c r="C22" s="17" t="s">
        <v>32</v>
      </c>
      <c r="D22" s="18" t="s">
        <v>33</v>
      </c>
      <c r="E22" s="17"/>
    </row>
    <row r="23" spans="3:5" s="1" customFormat="1" x14ac:dyDescent="0.25">
      <c r="C23" s="15" t="s">
        <v>34</v>
      </c>
      <c r="D23" s="21" t="s">
        <v>35</v>
      </c>
      <c r="E23" s="25">
        <v>6</v>
      </c>
    </row>
    <row r="24" spans="3:5" s="1" customFormat="1" ht="26.25" thickBot="1" x14ac:dyDescent="0.3">
      <c r="C24" s="10" t="s">
        <v>36</v>
      </c>
      <c r="D24" s="22" t="s">
        <v>37</v>
      </c>
      <c r="E24" s="10">
        <v>6</v>
      </c>
    </row>
    <row r="25" spans="3:5" s="1" customFormat="1" x14ac:dyDescent="0.25">
      <c r="C25" s="17" t="s">
        <v>38</v>
      </c>
      <c r="D25" s="18" t="s">
        <v>39</v>
      </c>
      <c r="E25" s="26"/>
    </row>
    <row r="26" spans="3:5" s="1" customFormat="1" x14ac:dyDescent="0.25">
      <c r="C26" s="10" t="s">
        <v>40</v>
      </c>
      <c r="D26" s="13" t="s">
        <v>41</v>
      </c>
      <c r="E26" s="10">
        <v>7</v>
      </c>
    </row>
    <row r="27" spans="3:5" s="1" customFormat="1" ht="26.25" thickBot="1" x14ac:dyDescent="0.3">
      <c r="C27" s="23" t="s">
        <v>42</v>
      </c>
      <c r="D27" s="27" t="s">
        <v>43</v>
      </c>
      <c r="E27" s="23">
        <v>10</v>
      </c>
    </row>
    <row r="28" spans="3:5" s="1" customFormat="1" x14ac:dyDescent="0.25">
      <c r="C28" s="28"/>
      <c r="E28" s="29"/>
    </row>
    <row r="29" spans="3:5" s="1" customFormat="1" x14ac:dyDescent="0.25">
      <c r="D29" s="30"/>
    </row>
  </sheetData>
  <sheetProtection algorithmName="SHA-512" hashValue="IIQHoj7IOxDhJeGHudy+l1EIGfRzVSInCITNsemYV9cVlc4dU0zVqBk2FWbU+wImrZEPyXf7d//uKObNx2D4Yg==" saltValue="56i55ykHo5lXikoKDHHrw+wo98DVH2D3mIkDnx0CZHViGL5KJZw7H4g51UoFHcWbzlS5cfdTmvN1BObiy2ySSA=="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4"/>
  <sheetViews>
    <sheetView topLeftCell="A4" zoomScale="90" zoomScaleNormal="90" workbookViewId="0">
      <selection activeCell="D10" sqref="D10"/>
    </sheetView>
  </sheetViews>
  <sheetFormatPr defaultRowHeight="15" x14ac:dyDescent="0.2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x14ac:dyDescent="0.25">
      <c r="A1" s="1363" t="s">
        <v>0</v>
      </c>
      <c r="B1" s="1364"/>
      <c r="C1" s="1364"/>
      <c r="D1" s="1364"/>
      <c r="E1" s="1364"/>
      <c r="F1" s="1364"/>
      <c r="G1" s="1364"/>
      <c r="H1" s="1364"/>
      <c r="I1" s="1364"/>
      <c r="J1" s="1364"/>
      <c r="K1" s="1364"/>
      <c r="L1" s="1364"/>
      <c r="M1" s="1364"/>
      <c r="N1" s="1364"/>
      <c r="O1" s="1364"/>
      <c r="P1" s="1365"/>
    </row>
    <row r="2" spans="1:17" s="1" customFormat="1" x14ac:dyDescent="0.25">
      <c r="A2" s="1363" t="s">
        <v>1</v>
      </c>
      <c r="B2" s="1364"/>
      <c r="C2" s="1364"/>
      <c r="D2" s="1364"/>
      <c r="E2" s="1364"/>
      <c r="F2" s="1364"/>
      <c r="G2" s="1364"/>
      <c r="H2" s="1364"/>
      <c r="I2" s="1364"/>
      <c r="J2" s="1364"/>
      <c r="K2" s="1364"/>
      <c r="L2" s="1364"/>
      <c r="M2" s="1364"/>
      <c r="N2" s="1364"/>
      <c r="O2" s="1364"/>
      <c r="P2" s="1365"/>
    </row>
    <row r="3" spans="1:17" s="1" customFormat="1" x14ac:dyDescent="0.25">
      <c r="A3" s="1366"/>
      <c r="B3" s="1367"/>
      <c r="C3" s="1367"/>
      <c r="D3" s="1367"/>
      <c r="E3" s="1367"/>
      <c r="F3" s="1367"/>
      <c r="G3" s="1367"/>
      <c r="H3" s="1367"/>
      <c r="I3" s="1367"/>
      <c r="J3" s="1367"/>
      <c r="K3" s="1367"/>
      <c r="L3" s="1367"/>
      <c r="M3" s="1367"/>
      <c r="N3" s="1367"/>
      <c r="O3" s="1367"/>
      <c r="P3" s="1368"/>
    </row>
    <row r="4" spans="1:17" s="1" customFormat="1" x14ac:dyDescent="0.25">
      <c r="A4" s="7"/>
      <c r="B4" s="7"/>
      <c r="C4" s="7"/>
      <c r="D4" s="7"/>
      <c r="E4" s="7"/>
      <c r="F4" s="7"/>
      <c r="G4" s="7"/>
      <c r="H4" s="7"/>
      <c r="I4" s="7"/>
      <c r="J4" s="7"/>
      <c r="K4" s="7"/>
      <c r="L4" s="7"/>
      <c r="M4" s="7"/>
      <c r="N4" s="7"/>
      <c r="O4" s="7"/>
      <c r="P4" s="7"/>
    </row>
    <row r="5" spans="1:17" s="1" customFormat="1" x14ac:dyDescent="0.25">
      <c r="A5" s="1369" t="s">
        <v>949</v>
      </c>
      <c r="B5" s="1370"/>
      <c r="C5" s="1370"/>
      <c r="D5" s="1370"/>
      <c r="E5" s="1370"/>
      <c r="F5" s="1370"/>
      <c r="G5" s="1370"/>
      <c r="H5" s="1370"/>
      <c r="I5" s="1370"/>
      <c r="J5" s="1370"/>
      <c r="K5" s="1370"/>
      <c r="L5" s="1370"/>
      <c r="M5" s="1370"/>
      <c r="N5" s="1370"/>
      <c r="O5" s="1370"/>
      <c r="P5" s="1371"/>
    </row>
    <row r="6" spans="1:17" s="1" customFormat="1" x14ac:dyDescent="0.25">
      <c r="A6" s="7"/>
      <c r="B6" s="7"/>
      <c r="C6" s="7"/>
      <c r="D6" s="7"/>
      <c r="E6" s="7"/>
      <c r="F6" s="7"/>
      <c r="G6" s="7"/>
      <c r="H6" s="7"/>
      <c r="I6" s="7"/>
      <c r="J6" s="7"/>
      <c r="K6" s="7"/>
      <c r="L6" s="7"/>
      <c r="M6" s="7"/>
      <c r="N6" s="7"/>
      <c r="O6" s="7"/>
      <c r="P6" s="7"/>
    </row>
    <row r="8" spans="1:17" s="1" customFormat="1" ht="15.75" thickBot="1" x14ac:dyDescent="0.3">
      <c r="B8" s="1362" t="s">
        <v>950</v>
      </c>
      <c r="C8" s="1362"/>
      <c r="D8" s="1362"/>
      <c r="E8" s="1362"/>
      <c r="F8" s="1362"/>
      <c r="G8" s="1362"/>
      <c r="H8" s="1362"/>
      <c r="I8" s="1362"/>
      <c r="J8" s="1362"/>
      <c r="K8" s="1362"/>
      <c r="L8" s="1362"/>
      <c r="M8" s="1362"/>
      <c r="N8" s="1362"/>
      <c r="O8" s="1362"/>
      <c r="P8" s="1362"/>
    </row>
    <row r="9" spans="1:17" s="1" customFormat="1" ht="101.25" customHeight="1" thickBot="1" x14ac:dyDescent="0.3">
      <c r="B9" s="1014" t="s">
        <v>4</v>
      </c>
      <c r="C9" s="1015" t="s">
        <v>52</v>
      </c>
      <c r="D9" s="1015" t="s">
        <v>255</v>
      </c>
      <c r="E9" s="1016" t="s">
        <v>256</v>
      </c>
      <c r="F9" s="1017" t="s">
        <v>257</v>
      </c>
      <c r="G9" s="1018" t="s">
        <v>258</v>
      </c>
      <c r="H9" s="1019" t="s">
        <v>259</v>
      </c>
      <c r="I9" s="1020" t="s">
        <v>260</v>
      </c>
      <c r="J9" s="33" t="s">
        <v>261</v>
      </c>
      <c r="K9" s="1018" t="s">
        <v>262</v>
      </c>
      <c r="L9" s="1019" t="s">
        <v>263</v>
      </c>
      <c r="M9" s="1021" t="s">
        <v>264</v>
      </c>
      <c r="N9" s="1022" t="s">
        <v>265</v>
      </c>
      <c r="O9" s="1023" t="s">
        <v>266</v>
      </c>
      <c r="P9" s="1024" t="s">
        <v>267</v>
      </c>
    </row>
    <row r="10" spans="1:17" s="1" customFormat="1" ht="16.5" thickTop="1" thickBot="1" x14ac:dyDescent="0.3">
      <c r="A10" s="1025"/>
      <c r="B10" s="478" t="s">
        <v>51</v>
      </c>
      <c r="C10" s="478" t="s">
        <v>595</v>
      </c>
      <c r="D10" s="1026">
        <f t="shared" ref="D10:P10" si="0">D11+D15+D20+D23+D26+D29</f>
        <v>1147.116681</v>
      </c>
      <c r="E10" s="1027">
        <f t="shared" si="0"/>
        <v>0</v>
      </c>
      <c r="F10" s="1027">
        <f t="shared" si="0"/>
        <v>435.17779685699998</v>
      </c>
      <c r="G10" s="1028">
        <f t="shared" si="0"/>
        <v>48.281210263000006</v>
      </c>
      <c r="H10" s="1029">
        <f t="shared" si="0"/>
        <v>167.81000832999999</v>
      </c>
      <c r="I10" s="1030">
        <f t="shared" si="0"/>
        <v>219.086578264</v>
      </c>
      <c r="J10" s="1031">
        <f t="shared" si="0"/>
        <v>711.938884143</v>
      </c>
      <c r="K10" s="1028">
        <f t="shared" si="0"/>
        <v>689.24521694700002</v>
      </c>
      <c r="L10" s="1029">
        <f t="shared" si="0"/>
        <v>18.640232051000002</v>
      </c>
      <c r="M10" s="1030">
        <f t="shared" si="0"/>
        <v>4.0534351449999999</v>
      </c>
      <c r="N10" s="1032">
        <f t="shared" si="0"/>
        <v>0</v>
      </c>
      <c r="O10" s="1033">
        <f t="shared" si="0"/>
        <v>0</v>
      </c>
      <c r="P10" s="1027">
        <f t="shared" si="0"/>
        <v>0</v>
      </c>
      <c r="Q10" s="29"/>
    </row>
    <row r="11" spans="1:17" s="1" customFormat="1" ht="15.75" thickTop="1" x14ac:dyDescent="0.25">
      <c r="B11" s="488" t="s">
        <v>96</v>
      </c>
      <c r="C11" s="489" t="s">
        <v>8</v>
      </c>
      <c r="D11" s="1034">
        <f t="shared" ref="D11:D55" si="1">E11+F11+J11+N11+O11+P11</f>
        <v>0</v>
      </c>
      <c r="E11" s="1035">
        <f>SUM(E12:E14)</f>
        <v>0</v>
      </c>
      <c r="F11" s="1035">
        <f t="shared" ref="F11:F32" si="2">SUM(G11:I11)</f>
        <v>0</v>
      </c>
      <c r="G11" s="146">
        <f>SUM(G12:G14)</f>
        <v>0</v>
      </c>
      <c r="H11" s="147">
        <f>SUM(H12:H14)</f>
        <v>0</v>
      </c>
      <c r="I11" s="148">
        <f>SUM(I12:I14)</f>
        <v>0</v>
      </c>
      <c r="J11" s="145">
        <f t="shared" ref="J11:J32" si="3">SUM(K11:M11)</f>
        <v>0</v>
      </c>
      <c r="K11" s="146">
        <f t="shared" ref="K11:P11" si="4">SUM(K12:K14)</f>
        <v>0</v>
      </c>
      <c r="L11" s="147">
        <f t="shared" si="4"/>
        <v>0</v>
      </c>
      <c r="M11" s="148">
        <f t="shared" si="4"/>
        <v>0</v>
      </c>
      <c r="N11" s="1036">
        <f t="shared" si="4"/>
        <v>0</v>
      </c>
      <c r="O11" s="144">
        <f t="shared" si="4"/>
        <v>0</v>
      </c>
      <c r="P11" s="1035">
        <f t="shared" si="4"/>
        <v>0</v>
      </c>
    </row>
    <row r="12" spans="1:17" s="1" customFormat="1" x14ac:dyDescent="0.25">
      <c r="B12" s="498" t="s">
        <v>98</v>
      </c>
      <c r="C12" s="499" t="s">
        <v>10</v>
      </c>
      <c r="D12" s="1034">
        <f t="shared" si="1"/>
        <v>0</v>
      </c>
      <c r="E12" s="1037">
        <f>SUM(E35,E58,E98)</f>
        <v>0</v>
      </c>
      <c r="F12" s="1035">
        <f t="shared" si="2"/>
        <v>0</v>
      </c>
      <c r="G12" s="349">
        <f t="shared" ref="G12:I14" si="5">SUM(G35,G58,G98)</f>
        <v>0</v>
      </c>
      <c r="H12" s="350">
        <f t="shared" si="5"/>
        <v>0</v>
      </c>
      <c r="I12" s="351">
        <f t="shared" si="5"/>
        <v>0</v>
      </c>
      <c r="J12" s="145">
        <f t="shared" si="3"/>
        <v>0</v>
      </c>
      <c r="K12" s="349">
        <f t="shared" ref="K12:P14" si="6">SUM(K35,K58,K98)</f>
        <v>0</v>
      </c>
      <c r="L12" s="350">
        <f t="shared" si="6"/>
        <v>0</v>
      </c>
      <c r="M12" s="351">
        <f t="shared" si="6"/>
        <v>0</v>
      </c>
      <c r="N12" s="1038">
        <f t="shared" si="6"/>
        <v>0</v>
      </c>
      <c r="O12" s="144">
        <f t="shared" si="6"/>
        <v>0</v>
      </c>
      <c r="P12" s="1035">
        <f t="shared" si="6"/>
        <v>0</v>
      </c>
    </row>
    <row r="13" spans="1:17" s="1" customFormat="1" x14ac:dyDescent="0.25">
      <c r="B13" s="498" t="s">
        <v>100</v>
      </c>
      <c r="C13" s="499" t="s">
        <v>11</v>
      </c>
      <c r="D13" s="1034">
        <f t="shared" si="1"/>
        <v>0</v>
      </c>
      <c r="E13" s="1037">
        <f>SUM(E36,E59,E99)</f>
        <v>0</v>
      </c>
      <c r="F13" s="1035">
        <f t="shared" si="2"/>
        <v>0</v>
      </c>
      <c r="G13" s="349">
        <f t="shared" si="5"/>
        <v>0</v>
      </c>
      <c r="H13" s="350">
        <f t="shared" si="5"/>
        <v>0</v>
      </c>
      <c r="I13" s="351">
        <f t="shared" si="5"/>
        <v>0</v>
      </c>
      <c r="J13" s="145">
        <f t="shared" si="3"/>
        <v>0</v>
      </c>
      <c r="K13" s="349">
        <f t="shared" si="6"/>
        <v>0</v>
      </c>
      <c r="L13" s="350">
        <f t="shared" si="6"/>
        <v>0</v>
      </c>
      <c r="M13" s="351">
        <f t="shared" si="6"/>
        <v>0</v>
      </c>
      <c r="N13" s="1038">
        <f t="shared" si="6"/>
        <v>0</v>
      </c>
      <c r="O13" s="144">
        <f t="shared" si="6"/>
        <v>0</v>
      </c>
      <c r="P13" s="1035">
        <f t="shared" si="6"/>
        <v>0</v>
      </c>
    </row>
    <row r="14" spans="1:17" s="1" customFormat="1" x14ac:dyDescent="0.25">
      <c r="B14" s="498" t="s">
        <v>596</v>
      </c>
      <c r="C14" s="499" t="s">
        <v>13</v>
      </c>
      <c r="D14" s="1034">
        <f t="shared" si="1"/>
        <v>0</v>
      </c>
      <c r="E14" s="1037">
        <f>SUM(E37,E60,E100)</f>
        <v>0</v>
      </c>
      <c r="F14" s="1035">
        <f t="shared" si="2"/>
        <v>0</v>
      </c>
      <c r="G14" s="349">
        <f t="shared" si="5"/>
        <v>0</v>
      </c>
      <c r="H14" s="350">
        <f t="shared" si="5"/>
        <v>0</v>
      </c>
      <c r="I14" s="351">
        <f t="shared" si="5"/>
        <v>0</v>
      </c>
      <c r="J14" s="145">
        <f t="shared" si="3"/>
        <v>0</v>
      </c>
      <c r="K14" s="349">
        <f t="shared" si="6"/>
        <v>0</v>
      </c>
      <c r="L14" s="350">
        <f t="shared" si="6"/>
        <v>0</v>
      </c>
      <c r="M14" s="351">
        <f t="shared" si="6"/>
        <v>0</v>
      </c>
      <c r="N14" s="1038">
        <f t="shared" si="6"/>
        <v>0</v>
      </c>
      <c r="O14" s="144">
        <f t="shared" si="6"/>
        <v>0</v>
      </c>
      <c r="P14" s="1035">
        <f t="shared" si="6"/>
        <v>0</v>
      </c>
    </row>
    <row r="15" spans="1:17" s="1" customFormat="1" x14ac:dyDescent="0.25">
      <c r="B15" s="488" t="s">
        <v>102</v>
      </c>
      <c r="C15" s="509" t="s">
        <v>15</v>
      </c>
      <c r="D15" s="1034">
        <f t="shared" si="1"/>
        <v>937.99789999999985</v>
      </c>
      <c r="E15" s="1035">
        <f>SUM(E16:E19)</f>
        <v>0</v>
      </c>
      <c r="F15" s="1035">
        <f t="shared" si="2"/>
        <v>283.88241462399998</v>
      </c>
      <c r="G15" s="146">
        <f>SUM(G16:G19)</f>
        <v>41.044691176000001</v>
      </c>
      <c r="H15" s="147">
        <f>SUM(H16:H19)</f>
        <v>55.594117863999998</v>
      </c>
      <c r="I15" s="148">
        <f>SUM(I16:I19)</f>
        <v>187.24360558399999</v>
      </c>
      <c r="J15" s="145">
        <f t="shared" si="3"/>
        <v>654.11548537599992</v>
      </c>
      <c r="K15" s="146">
        <f t="shared" ref="K15:P15" si="7">SUM(K16:K19)</f>
        <v>650.670816264</v>
      </c>
      <c r="L15" s="147">
        <f t="shared" si="7"/>
        <v>3.3282347520000002</v>
      </c>
      <c r="M15" s="148">
        <f t="shared" si="7"/>
        <v>0.11643435999999999</v>
      </c>
      <c r="N15" s="1036">
        <f t="shared" si="7"/>
        <v>0</v>
      </c>
      <c r="O15" s="144">
        <f t="shared" si="7"/>
        <v>0</v>
      </c>
      <c r="P15" s="1035">
        <f t="shared" si="7"/>
        <v>0</v>
      </c>
    </row>
    <row r="16" spans="1:17" s="1" customFormat="1" x14ac:dyDescent="0.25">
      <c r="B16" s="498" t="s">
        <v>104</v>
      </c>
      <c r="C16" s="499" t="s">
        <v>17</v>
      </c>
      <c r="D16" s="1034">
        <f t="shared" si="1"/>
        <v>42.840060000000001</v>
      </c>
      <c r="E16" s="1037">
        <f>SUM(E39,E62,E102)</f>
        <v>0</v>
      </c>
      <c r="F16" s="1035">
        <f t="shared" si="2"/>
        <v>39.123937320000003</v>
      </c>
      <c r="G16" s="349">
        <f t="shared" ref="G16:I19" si="8">SUM(G39,G62,G102)</f>
        <v>6.8096793150000003</v>
      </c>
      <c r="H16" s="350">
        <f t="shared" si="8"/>
        <v>26.844701996000001</v>
      </c>
      <c r="I16" s="351">
        <f t="shared" si="8"/>
        <v>5.4695560089999997</v>
      </c>
      <c r="J16" s="145">
        <f t="shared" si="3"/>
        <v>3.7161226800000007</v>
      </c>
      <c r="K16" s="349">
        <f t="shared" ref="K16:P19" si="9">SUM(K39,K62,K102)</f>
        <v>2.3626600200000007</v>
      </c>
      <c r="L16" s="350">
        <f t="shared" si="9"/>
        <v>1.34164036</v>
      </c>
      <c r="M16" s="351">
        <f t="shared" si="9"/>
        <v>1.1822299999999999E-2</v>
      </c>
      <c r="N16" s="1038">
        <f t="shared" si="9"/>
        <v>0</v>
      </c>
      <c r="O16" s="144">
        <f t="shared" si="9"/>
        <v>0</v>
      </c>
      <c r="P16" s="1035">
        <f t="shared" si="9"/>
        <v>0</v>
      </c>
    </row>
    <row r="17" spans="2:16" s="1" customFormat="1" x14ac:dyDescent="0.25">
      <c r="B17" s="498" t="s">
        <v>110</v>
      </c>
      <c r="C17" s="499" t="s">
        <v>597</v>
      </c>
      <c r="D17" s="1034">
        <f t="shared" si="1"/>
        <v>69.095089999999999</v>
      </c>
      <c r="E17" s="1037">
        <f>SUM(E40,E63,E103)</f>
        <v>0</v>
      </c>
      <c r="F17" s="1035">
        <f t="shared" si="2"/>
        <v>50.545877304000001</v>
      </c>
      <c r="G17" s="349">
        <f t="shared" si="8"/>
        <v>9.6721318610000004</v>
      </c>
      <c r="H17" s="350">
        <f t="shared" si="8"/>
        <v>28.749415868</v>
      </c>
      <c r="I17" s="351">
        <f t="shared" si="8"/>
        <v>12.124329575000001</v>
      </c>
      <c r="J17" s="145">
        <f t="shared" si="3"/>
        <v>18.549212696000001</v>
      </c>
      <c r="K17" s="349">
        <f t="shared" si="9"/>
        <v>17.960396244000002</v>
      </c>
      <c r="L17" s="350">
        <f t="shared" si="9"/>
        <v>0.48420439200000004</v>
      </c>
      <c r="M17" s="351">
        <f t="shared" si="9"/>
        <v>0.10461205999999999</v>
      </c>
      <c r="N17" s="1038">
        <f t="shared" si="9"/>
        <v>0</v>
      </c>
      <c r="O17" s="144">
        <f t="shared" si="9"/>
        <v>0</v>
      </c>
      <c r="P17" s="1035">
        <f t="shared" si="9"/>
        <v>0</v>
      </c>
    </row>
    <row r="18" spans="2:16" s="1" customFormat="1" x14ac:dyDescent="0.25">
      <c r="B18" s="498" t="s">
        <v>117</v>
      </c>
      <c r="C18" s="499" t="s">
        <v>23</v>
      </c>
      <c r="D18" s="1034">
        <f t="shared" si="1"/>
        <v>781.09420999999998</v>
      </c>
      <c r="E18" s="1037">
        <f>SUM(E41,E64,E104)</f>
        <v>0</v>
      </c>
      <c r="F18" s="1035">
        <f t="shared" si="2"/>
        <v>169.41528</v>
      </c>
      <c r="G18" s="349">
        <f t="shared" si="8"/>
        <v>0</v>
      </c>
      <c r="H18" s="350">
        <f t="shared" si="8"/>
        <v>0</v>
      </c>
      <c r="I18" s="351">
        <f t="shared" si="8"/>
        <v>169.41528</v>
      </c>
      <c r="J18" s="145">
        <f t="shared" si="3"/>
        <v>611.67893000000004</v>
      </c>
      <c r="K18" s="349">
        <f t="shared" si="9"/>
        <v>611.67893000000004</v>
      </c>
      <c r="L18" s="350">
        <f t="shared" si="9"/>
        <v>0</v>
      </c>
      <c r="M18" s="351">
        <f t="shared" si="9"/>
        <v>0</v>
      </c>
      <c r="N18" s="1038">
        <f t="shared" si="9"/>
        <v>0</v>
      </c>
      <c r="O18" s="144">
        <f t="shared" si="9"/>
        <v>0</v>
      </c>
      <c r="P18" s="1035">
        <f t="shared" si="9"/>
        <v>0</v>
      </c>
    </row>
    <row r="19" spans="2:16" s="1" customFormat="1" ht="38.25" x14ac:dyDescent="0.25">
      <c r="B19" s="498" t="s">
        <v>598</v>
      </c>
      <c r="C19" s="499" t="s">
        <v>599</v>
      </c>
      <c r="D19" s="1034">
        <f t="shared" si="1"/>
        <v>44.968539999999997</v>
      </c>
      <c r="E19" s="1037">
        <f>SUM(E42,E65,E105)</f>
        <v>0</v>
      </c>
      <c r="F19" s="1035">
        <f t="shared" si="2"/>
        <v>24.797319999999999</v>
      </c>
      <c r="G19" s="349">
        <f t="shared" si="8"/>
        <v>24.56288</v>
      </c>
      <c r="H19" s="350">
        <f t="shared" si="8"/>
        <v>0</v>
      </c>
      <c r="I19" s="351">
        <f t="shared" si="8"/>
        <v>0.23444000000000001</v>
      </c>
      <c r="J19" s="145">
        <f t="shared" si="3"/>
        <v>20.171219999999998</v>
      </c>
      <c r="K19" s="349">
        <f t="shared" si="9"/>
        <v>18.66883</v>
      </c>
      <c r="L19" s="350">
        <f t="shared" si="9"/>
        <v>1.5023899999999999</v>
      </c>
      <c r="M19" s="351">
        <f t="shared" si="9"/>
        <v>0</v>
      </c>
      <c r="N19" s="1038">
        <f t="shared" si="9"/>
        <v>0</v>
      </c>
      <c r="O19" s="144">
        <f t="shared" si="9"/>
        <v>0</v>
      </c>
      <c r="P19" s="1035">
        <f t="shared" si="9"/>
        <v>0</v>
      </c>
    </row>
    <row r="20" spans="2:16" s="1" customFormat="1" x14ac:dyDescent="0.25">
      <c r="B20" s="488" t="s">
        <v>124</v>
      </c>
      <c r="C20" s="513" t="s">
        <v>27</v>
      </c>
      <c r="D20" s="1034">
        <f t="shared" si="1"/>
        <v>144.87802099999999</v>
      </c>
      <c r="E20" s="1035">
        <f>SUM(E21:E22)</f>
        <v>0</v>
      </c>
      <c r="F20" s="1035">
        <f t="shared" si="2"/>
        <v>119.56702</v>
      </c>
      <c r="G20" s="146">
        <f>SUM(G21:G22)</f>
        <v>3.2822100000000001</v>
      </c>
      <c r="H20" s="147">
        <f>SUM(H21:H22)</f>
        <v>94.830619999999996</v>
      </c>
      <c r="I20" s="148">
        <f>SUM(I21:I22)</f>
        <v>21.454190000000001</v>
      </c>
      <c r="J20" s="145">
        <f t="shared" si="3"/>
        <v>25.311001000000001</v>
      </c>
      <c r="K20" s="146">
        <f t="shared" ref="K20:P20" si="10">SUM(K21:K22)</f>
        <v>11.346769999999999</v>
      </c>
      <c r="L20" s="147">
        <f t="shared" si="10"/>
        <v>10.403251000000001</v>
      </c>
      <c r="M20" s="148">
        <f t="shared" si="10"/>
        <v>3.5609799999999998</v>
      </c>
      <c r="N20" s="1036">
        <f t="shared" si="10"/>
        <v>0</v>
      </c>
      <c r="O20" s="144">
        <f t="shared" si="10"/>
        <v>0</v>
      </c>
      <c r="P20" s="1035">
        <f t="shared" si="10"/>
        <v>0</v>
      </c>
    </row>
    <row r="21" spans="2:16" s="1" customFormat="1" ht="51.75" x14ac:dyDescent="0.25">
      <c r="B21" s="498" t="s">
        <v>126</v>
      </c>
      <c r="C21" s="514" t="s">
        <v>29</v>
      </c>
      <c r="D21" s="1034">
        <f t="shared" si="1"/>
        <v>139.19884100000002</v>
      </c>
      <c r="E21" s="1037">
        <f>SUM(E44,E67,E107)</f>
        <v>0</v>
      </c>
      <c r="F21" s="1035">
        <f t="shared" si="2"/>
        <v>119.56702</v>
      </c>
      <c r="G21" s="349">
        <f>SUM(G44,G67,G107)</f>
        <v>3.2822100000000001</v>
      </c>
      <c r="H21" s="350">
        <f>SUM(H44,H67,H107)</f>
        <v>94.830619999999996</v>
      </c>
      <c r="I21" s="351">
        <f>SUM(I44,I67,I107)</f>
        <v>21.454190000000001</v>
      </c>
      <c r="J21" s="145">
        <f t="shared" si="3"/>
        <v>19.631821000000002</v>
      </c>
      <c r="K21" s="349">
        <f t="shared" ref="K21:P21" si="11">SUM(K44,K67,K107)</f>
        <v>7.0958800000000002</v>
      </c>
      <c r="L21" s="350">
        <f t="shared" si="11"/>
        <v>8.9749610000000004</v>
      </c>
      <c r="M21" s="351">
        <f t="shared" si="11"/>
        <v>3.5609799999999998</v>
      </c>
      <c r="N21" s="1038">
        <f t="shared" si="11"/>
        <v>0</v>
      </c>
      <c r="O21" s="144">
        <f t="shared" si="11"/>
        <v>0</v>
      </c>
      <c r="P21" s="1035">
        <f t="shared" si="11"/>
        <v>0</v>
      </c>
    </row>
    <row r="22" spans="2:16" s="1" customFormat="1" x14ac:dyDescent="0.25">
      <c r="B22" s="498" t="s">
        <v>128</v>
      </c>
      <c r="C22" s="514" t="s">
        <v>31</v>
      </c>
      <c r="D22" s="1034">
        <f t="shared" si="1"/>
        <v>5.6791800000000006</v>
      </c>
      <c r="E22" s="1037">
        <f>SUM(E45,E68)</f>
        <v>0</v>
      </c>
      <c r="F22" s="1035">
        <f t="shared" si="2"/>
        <v>0</v>
      </c>
      <c r="G22" s="349">
        <f>SUM(G45,G68)</f>
        <v>0</v>
      </c>
      <c r="H22" s="350">
        <f>SUM(H45,H68)</f>
        <v>0</v>
      </c>
      <c r="I22" s="351">
        <f>SUM(I45,I68)</f>
        <v>0</v>
      </c>
      <c r="J22" s="145">
        <f t="shared" si="3"/>
        <v>5.6791800000000006</v>
      </c>
      <c r="K22" s="349">
        <f t="shared" ref="K22:P22" si="12">SUM(K45,K68)</f>
        <v>4.2508900000000001</v>
      </c>
      <c r="L22" s="350">
        <f t="shared" si="12"/>
        <v>1.4282900000000001</v>
      </c>
      <c r="M22" s="351">
        <f t="shared" si="12"/>
        <v>0</v>
      </c>
      <c r="N22" s="1038">
        <f t="shared" si="12"/>
        <v>0</v>
      </c>
      <c r="O22" s="144">
        <f t="shared" si="12"/>
        <v>0</v>
      </c>
      <c r="P22" s="1035">
        <f t="shared" si="12"/>
        <v>0</v>
      </c>
    </row>
    <row r="23" spans="2:16" s="1" customFormat="1" x14ac:dyDescent="0.25">
      <c r="B23" s="488" t="s">
        <v>131</v>
      </c>
      <c r="C23" s="513" t="s">
        <v>33</v>
      </c>
      <c r="D23" s="1034">
        <f t="shared" si="1"/>
        <v>21.885860000000001</v>
      </c>
      <c r="E23" s="1035">
        <f>SUM(E24:E25)</f>
        <v>0</v>
      </c>
      <c r="F23" s="1035">
        <f t="shared" si="2"/>
        <v>15.845453095000002</v>
      </c>
      <c r="G23" s="146">
        <f>SUM(G24:G25)</f>
        <v>1.0085219090000002</v>
      </c>
      <c r="H23" s="147">
        <f>SUM(H24:H25)</f>
        <v>7.1437578900000007</v>
      </c>
      <c r="I23" s="148">
        <f>SUM(I24:I25)</f>
        <v>7.6931732960000012</v>
      </c>
      <c r="J23" s="145">
        <f t="shared" si="3"/>
        <v>6.0404069050000002</v>
      </c>
      <c r="K23" s="146">
        <f t="shared" ref="K23:P23" si="13">SUM(K24:K25)</f>
        <v>2.6353540570000002</v>
      </c>
      <c r="L23" s="147">
        <f t="shared" si="13"/>
        <v>3.3648563089999999</v>
      </c>
      <c r="M23" s="148">
        <f t="shared" si="13"/>
        <v>4.0196539000000003E-2</v>
      </c>
      <c r="N23" s="1036">
        <f t="shared" si="13"/>
        <v>0</v>
      </c>
      <c r="O23" s="144">
        <f t="shared" si="13"/>
        <v>0</v>
      </c>
      <c r="P23" s="1035">
        <f t="shared" si="13"/>
        <v>0</v>
      </c>
    </row>
    <row r="24" spans="2:16" s="1" customFormat="1" x14ac:dyDescent="0.25">
      <c r="B24" s="498" t="s">
        <v>133</v>
      </c>
      <c r="C24" s="514" t="s">
        <v>600</v>
      </c>
      <c r="D24" s="1034">
        <f t="shared" si="1"/>
        <v>0</v>
      </c>
      <c r="E24" s="1037">
        <f>SUM(E47,E70,E109)</f>
        <v>0</v>
      </c>
      <c r="F24" s="1039">
        <f t="shared" si="2"/>
        <v>0</v>
      </c>
      <c r="G24" s="1040">
        <f t="shared" ref="G24:I25" si="14">SUM(G47,G70,G109)</f>
        <v>0</v>
      </c>
      <c r="H24" s="1041">
        <f t="shared" si="14"/>
        <v>0</v>
      </c>
      <c r="I24" s="1042">
        <f t="shared" si="14"/>
        <v>0</v>
      </c>
      <c r="J24" s="141">
        <f t="shared" si="3"/>
        <v>0</v>
      </c>
      <c r="K24" s="1040">
        <f t="shared" ref="K24:P25" si="15">SUM(K47,K70,K109)</f>
        <v>0</v>
      </c>
      <c r="L24" s="1041">
        <f t="shared" si="15"/>
        <v>0</v>
      </c>
      <c r="M24" s="1042">
        <f t="shared" si="15"/>
        <v>0</v>
      </c>
      <c r="N24" s="1043">
        <f t="shared" si="15"/>
        <v>0</v>
      </c>
      <c r="O24" s="1044">
        <f t="shared" si="15"/>
        <v>0</v>
      </c>
      <c r="P24" s="1045">
        <f t="shared" si="15"/>
        <v>0</v>
      </c>
    </row>
    <row r="25" spans="2:16" s="1" customFormat="1" ht="26.25" x14ac:dyDescent="0.25">
      <c r="B25" s="498" t="s">
        <v>135</v>
      </c>
      <c r="C25" s="524" t="s">
        <v>601</v>
      </c>
      <c r="D25" s="1034">
        <f t="shared" si="1"/>
        <v>21.885860000000001</v>
      </c>
      <c r="E25" s="1037">
        <f>SUM(E48,E71,E110)</f>
        <v>0</v>
      </c>
      <c r="F25" s="1039">
        <f t="shared" si="2"/>
        <v>15.845453095000002</v>
      </c>
      <c r="G25" s="1040">
        <f t="shared" si="14"/>
        <v>1.0085219090000002</v>
      </c>
      <c r="H25" s="1041">
        <f t="shared" si="14"/>
        <v>7.1437578900000007</v>
      </c>
      <c r="I25" s="1042">
        <f t="shared" si="14"/>
        <v>7.6931732960000012</v>
      </c>
      <c r="J25" s="141">
        <f t="shared" si="3"/>
        <v>6.0404069050000002</v>
      </c>
      <c r="K25" s="1040">
        <f t="shared" si="15"/>
        <v>2.6353540570000002</v>
      </c>
      <c r="L25" s="1041">
        <f t="shared" si="15"/>
        <v>3.3648563089999999</v>
      </c>
      <c r="M25" s="1042">
        <f t="shared" si="15"/>
        <v>4.0196539000000003E-2</v>
      </c>
      <c r="N25" s="1043">
        <f t="shared" si="15"/>
        <v>0</v>
      </c>
      <c r="O25" s="1044">
        <f t="shared" si="15"/>
        <v>0</v>
      </c>
      <c r="P25" s="1045">
        <f t="shared" si="15"/>
        <v>0</v>
      </c>
    </row>
    <row r="26" spans="2:16" s="1" customFormat="1" x14ac:dyDescent="0.25">
      <c r="B26" s="488" t="s">
        <v>274</v>
      </c>
      <c r="C26" s="525" t="s">
        <v>39</v>
      </c>
      <c r="D26" s="1046">
        <f t="shared" si="1"/>
        <v>42.354900000000001</v>
      </c>
      <c r="E26" s="1047">
        <f>SUM(E27:E28)</f>
        <v>0</v>
      </c>
      <c r="F26" s="1047">
        <f t="shared" si="2"/>
        <v>15.882909138000002</v>
      </c>
      <c r="G26" s="1048">
        <f>SUM(G27:G28)</f>
        <v>2.9457871780000007</v>
      </c>
      <c r="H26" s="1049">
        <f>SUM(H27:H28)</f>
        <v>10.241512576</v>
      </c>
      <c r="I26" s="1050">
        <f>SUM(I27:I28)</f>
        <v>2.6956093840000004</v>
      </c>
      <c r="J26" s="1051">
        <f t="shared" si="3"/>
        <v>26.471990862000002</v>
      </c>
      <c r="K26" s="1048">
        <f t="shared" ref="K26:P26" si="16">SUM(K27:K28)</f>
        <v>24.592276626</v>
      </c>
      <c r="L26" s="1049">
        <f t="shared" si="16"/>
        <v>1.54388999</v>
      </c>
      <c r="M26" s="1050">
        <f t="shared" si="16"/>
        <v>0.33582424600000005</v>
      </c>
      <c r="N26" s="1052">
        <f t="shared" si="16"/>
        <v>0</v>
      </c>
      <c r="O26" s="1053">
        <f t="shared" si="16"/>
        <v>0</v>
      </c>
      <c r="P26" s="1047">
        <f t="shared" si="16"/>
        <v>0</v>
      </c>
    </row>
    <row r="27" spans="2:16" s="1" customFormat="1" x14ac:dyDescent="0.25">
      <c r="B27" s="1054" t="s">
        <v>276</v>
      </c>
      <c r="C27" s="534" t="s">
        <v>41</v>
      </c>
      <c r="D27" s="1055">
        <f t="shared" si="1"/>
        <v>0</v>
      </c>
      <c r="E27" s="1037">
        <f>SUM(E50,E73,E112)</f>
        <v>0</v>
      </c>
      <c r="F27" s="1056">
        <f t="shared" si="2"/>
        <v>0</v>
      </c>
      <c r="G27" s="1057">
        <f t="shared" ref="G27:I28" si="17">SUM(G50,G73,G112)</f>
        <v>0</v>
      </c>
      <c r="H27" s="1058">
        <f t="shared" si="17"/>
        <v>0</v>
      </c>
      <c r="I27" s="1059">
        <f t="shared" si="17"/>
        <v>0</v>
      </c>
      <c r="J27" s="289">
        <f t="shared" si="3"/>
        <v>0</v>
      </c>
      <c r="K27" s="1057">
        <f t="shared" ref="K27:P28" si="18">SUM(K50,K73,K112)</f>
        <v>0</v>
      </c>
      <c r="L27" s="1058">
        <f t="shared" si="18"/>
        <v>0</v>
      </c>
      <c r="M27" s="1059">
        <f t="shared" si="18"/>
        <v>0</v>
      </c>
      <c r="N27" s="1060">
        <f t="shared" si="18"/>
        <v>0</v>
      </c>
      <c r="O27" s="1061">
        <f t="shared" si="18"/>
        <v>0</v>
      </c>
      <c r="P27" s="1062">
        <f t="shared" si="18"/>
        <v>0</v>
      </c>
    </row>
    <row r="28" spans="2:16" s="1" customFormat="1" ht="26.25" x14ac:dyDescent="0.25">
      <c r="B28" s="1054" t="s">
        <v>278</v>
      </c>
      <c r="C28" s="541" t="s">
        <v>43</v>
      </c>
      <c r="D28" s="1046">
        <f t="shared" si="1"/>
        <v>42.354900000000001</v>
      </c>
      <c r="E28" s="1037">
        <f>SUM(E51,E74,E113)</f>
        <v>0</v>
      </c>
      <c r="F28" s="1047">
        <f t="shared" si="2"/>
        <v>15.882909138000002</v>
      </c>
      <c r="G28" s="398">
        <f t="shared" si="17"/>
        <v>2.9457871780000007</v>
      </c>
      <c r="H28" s="399">
        <f t="shared" si="17"/>
        <v>10.241512576</v>
      </c>
      <c r="I28" s="400">
        <f t="shared" si="17"/>
        <v>2.6956093840000004</v>
      </c>
      <c r="J28" s="1051">
        <f t="shared" si="3"/>
        <v>26.471990862000002</v>
      </c>
      <c r="K28" s="398">
        <f t="shared" si="18"/>
        <v>24.592276626</v>
      </c>
      <c r="L28" s="399">
        <f t="shared" si="18"/>
        <v>1.54388999</v>
      </c>
      <c r="M28" s="400">
        <f t="shared" si="18"/>
        <v>0.33582424600000005</v>
      </c>
      <c r="N28" s="1063">
        <f t="shared" si="18"/>
        <v>0</v>
      </c>
      <c r="O28" s="402">
        <f t="shared" si="18"/>
        <v>0</v>
      </c>
      <c r="P28" s="1064">
        <f t="shared" si="18"/>
        <v>0</v>
      </c>
    </row>
    <row r="29" spans="2:16" s="1" customFormat="1" x14ac:dyDescent="0.25">
      <c r="B29" s="1065" t="s">
        <v>282</v>
      </c>
      <c r="C29" s="545" t="s">
        <v>602</v>
      </c>
      <c r="D29" s="1046">
        <f t="shared" si="1"/>
        <v>0</v>
      </c>
      <c r="E29" s="1047">
        <f>SUM(E30:E32)</f>
        <v>0</v>
      </c>
      <c r="F29" s="1047">
        <f t="shared" si="2"/>
        <v>0</v>
      </c>
      <c r="G29" s="1048">
        <f>SUM(G30:G32)</f>
        <v>0</v>
      </c>
      <c r="H29" s="1049">
        <f>SUM(H30:H32)</f>
        <v>0</v>
      </c>
      <c r="I29" s="1050">
        <f>SUM(I30:I32)</f>
        <v>0</v>
      </c>
      <c r="J29" s="1051">
        <f t="shared" si="3"/>
        <v>0</v>
      </c>
      <c r="K29" s="1048">
        <f t="shared" ref="K29:P29" si="19">SUM(K30:K32)</f>
        <v>0</v>
      </c>
      <c r="L29" s="1049">
        <f t="shared" si="19"/>
        <v>0</v>
      </c>
      <c r="M29" s="1050">
        <f t="shared" si="19"/>
        <v>0</v>
      </c>
      <c r="N29" s="1052">
        <f t="shared" si="19"/>
        <v>0</v>
      </c>
      <c r="O29" s="1053">
        <f t="shared" si="19"/>
        <v>0</v>
      </c>
      <c r="P29" s="1047">
        <f t="shared" si="19"/>
        <v>0</v>
      </c>
    </row>
    <row r="30" spans="2:16" s="1" customFormat="1" x14ac:dyDescent="0.25">
      <c r="B30" s="1066" t="s">
        <v>284</v>
      </c>
      <c r="C30" s="1067" t="s">
        <v>603</v>
      </c>
      <c r="D30" s="1046">
        <f t="shared" si="1"/>
        <v>0</v>
      </c>
      <c r="E30" s="1064">
        <f>SUM(E53,E76,E115)</f>
        <v>0</v>
      </c>
      <c r="F30" s="1047">
        <f t="shared" si="2"/>
        <v>0</v>
      </c>
      <c r="G30" s="398">
        <f t="shared" ref="G30:I32" si="20">SUM(G53,G76,G115)</f>
        <v>0</v>
      </c>
      <c r="H30" s="399">
        <f t="shared" si="20"/>
        <v>0</v>
      </c>
      <c r="I30" s="400">
        <f t="shared" si="20"/>
        <v>0</v>
      </c>
      <c r="J30" s="1051">
        <f t="shared" si="3"/>
        <v>0</v>
      </c>
      <c r="K30" s="398">
        <f t="shared" ref="K30:P32" si="21">SUM(K53,K76,K115)</f>
        <v>0</v>
      </c>
      <c r="L30" s="399">
        <f t="shared" si="21"/>
        <v>0</v>
      </c>
      <c r="M30" s="400">
        <f t="shared" si="21"/>
        <v>0</v>
      </c>
      <c r="N30" s="1063">
        <f t="shared" si="21"/>
        <v>0</v>
      </c>
      <c r="O30" s="402">
        <f t="shared" si="21"/>
        <v>0</v>
      </c>
      <c r="P30" s="1064">
        <f t="shared" si="21"/>
        <v>0</v>
      </c>
    </row>
    <row r="31" spans="2:16" s="1" customFormat="1" x14ac:dyDescent="0.25">
      <c r="B31" s="1066" t="s">
        <v>604</v>
      </c>
      <c r="C31" s="1067" t="s">
        <v>603</v>
      </c>
      <c r="D31" s="1046">
        <f t="shared" si="1"/>
        <v>0</v>
      </c>
      <c r="E31" s="1064">
        <f>SUM(E54,E77,E116)</f>
        <v>0</v>
      </c>
      <c r="F31" s="1047">
        <f t="shared" si="2"/>
        <v>0</v>
      </c>
      <c r="G31" s="398">
        <f t="shared" si="20"/>
        <v>0</v>
      </c>
      <c r="H31" s="399">
        <f t="shared" si="20"/>
        <v>0</v>
      </c>
      <c r="I31" s="400">
        <f t="shared" si="20"/>
        <v>0</v>
      </c>
      <c r="J31" s="1051">
        <f t="shared" si="3"/>
        <v>0</v>
      </c>
      <c r="K31" s="398">
        <f t="shared" si="21"/>
        <v>0</v>
      </c>
      <c r="L31" s="399">
        <f t="shared" si="21"/>
        <v>0</v>
      </c>
      <c r="M31" s="400">
        <f t="shared" si="21"/>
        <v>0</v>
      </c>
      <c r="N31" s="1063">
        <f t="shared" si="21"/>
        <v>0</v>
      </c>
      <c r="O31" s="402">
        <f t="shared" si="21"/>
        <v>0</v>
      </c>
      <c r="P31" s="1064">
        <f t="shared" si="21"/>
        <v>0</v>
      </c>
    </row>
    <row r="32" spans="2:16" s="1" customFormat="1" ht="15.75" thickBot="1" x14ac:dyDescent="0.3">
      <c r="B32" s="1068" t="s">
        <v>605</v>
      </c>
      <c r="C32" s="1067" t="s">
        <v>603</v>
      </c>
      <c r="D32" s="1069">
        <f t="shared" si="1"/>
        <v>0</v>
      </c>
      <c r="E32" s="1070">
        <f>SUM(E55,E78,E117)</f>
        <v>0</v>
      </c>
      <c r="F32" s="1071">
        <f t="shared" si="2"/>
        <v>0</v>
      </c>
      <c r="G32" s="1072">
        <f t="shared" si="20"/>
        <v>0</v>
      </c>
      <c r="H32" s="1073">
        <f t="shared" si="20"/>
        <v>0</v>
      </c>
      <c r="I32" s="1074">
        <f t="shared" si="20"/>
        <v>0</v>
      </c>
      <c r="J32" s="1075">
        <f t="shared" si="3"/>
        <v>0</v>
      </c>
      <c r="K32" s="1072">
        <f t="shared" si="21"/>
        <v>0</v>
      </c>
      <c r="L32" s="1073">
        <f t="shared" si="21"/>
        <v>0</v>
      </c>
      <c r="M32" s="1074">
        <f t="shared" si="21"/>
        <v>0</v>
      </c>
      <c r="N32" s="1076">
        <f t="shared" si="21"/>
        <v>0</v>
      </c>
      <c r="O32" s="1077">
        <f t="shared" si="21"/>
        <v>0</v>
      </c>
      <c r="P32" s="1070">
        <f t="shared" si="21"/>
        <v>0</v>
      </c>
    </row>
    <row r="33" spans="2:16" s="1" customFormat="1" ht="16.5" thickTop="1" thickBot="1" x14ac:dyDescent="0.3">
      <c r="B33" s="478" t="s">
        <v>53</v>
      </c>
      <c r="C33" s="478" t="s">
        <v>606</v>
      </c>
      <c r="D33" s="1026">
        <f t="shared" si="1"/>
        <v>1020.2104310000002</v>
      </c>
      <c r="E33" s="1027">
        <f t="shared" ref="E33:P33" si="22">E34+E38+E43+E46+E49+E52</f>
        <v>0</v>
      </c>
      <c r="F33" s="1027">
        <f t="shared" si="22"/>
        <v>337.93206000000004</v>
      </c>
      <c r="G33" s="1028">
        <f t="shared" si="22"/>
        <v>31.263579999999997</v>
      </c>
      <c r="H33" s="1029">
        <f t="shared" si="22"/>
        <v>108.65589</v>
      </c>
      <c r="I33" s="1030">
        <f t="shared" si="22"/>
        <v>198.01259000000002</v>
      </c>
      <c r="J33" s="1031">
        <f t="shared" si="22"/>
        <v>682.27837100000011</v>
      </c>
      <c r="K33" s="1028">
        <f t="shared" si="22"/>
        <v>662.34508000000005</v>
      </c>
      <c r="L33" s="1029">
        <f t="shared" si="22"/>
        <v>16.372311</v>
      </c>
      <c r="M33" s="1030">
        <f t="shared" si="22"/>
        <v>3.5609799999999998</v>
      </c>
      <c r="N33" s="1032">
        <f t="shared" si="22"/>
        <v>0</v>
      </c>
      <c r="O33" s="1033">
        <f t="shared" si="22"/>
        <v>0</v>
      </c>
      <c r="P33" s="1027">
        <f t="shared" si="22"/>
        <v>0</v>
      </c>
    </row>
    <row r="34" spans="2:16" s="1" customFormat="1" ht="15.75" thickTop="1" x14ac:dyDescent="0.25">
      <c r="B34" s="488" t="s">
        <v>55</v>
      </c>
      <c r="C34" s="489" t="s">
        <v>8</v>
      </c>
      <c r="D34" s="1034">
        <f t="shared" si="1"/>
        <v>0</v>
      </c>
      <c r="E34" s="1035">
        <f>SUM(E35:E37)</f>
        <v>0</v>
      </c>
      <c r="F34" s="1035">
        <f t="shared" ref="F34:F55" si="23">SUM(G34:I34)</f>
        <v>0</v>
      </c>
      <c r="G34" s="146">
        <f>SUM(G35:G37)</f>
        <v>0</v>
      </c>
      <c r="H34" s="147">
        <f>SUM(H35:H37)</f>
        <v>0</v>
      </c>
      <c r="I34" s="148">
        <f>SUM(I35:I37)</f>
        <v>0</v>
      </c>
      <c r="J34" s="145">
        <f t="shared" ref="J34:J55" si="24">SUM(K34:M34)</f>
        <v>0</v>
      </c>
      <c r="K34" s="146">
        <f t="shared" ref="K34:P34" si="25">SUM(K35:K37)</f>
        <v>0</v>
      </c>
      <c r="L34" s="147">
        <f t="shared" si="25"/>
        <v>0</v>
      </c>
      <c r="M34" s="148">
        <f t="shared" si="25"/>
        <v>0</v>
      </c>
      <c r="N34" s="1036">
        <f t="shared" si="25"/>
        <v>0</v>
      </c>
      <c r="O34" s="144">
        <f t="shared" si="25"/>
        <v>0</v>
      </c>
      <c r="P34" s="1035">
        <f t="shared" si="25"/>
        <v>0</v>
      </c>
    </row>
    <row r="35" spans="2:16" s="1" customFormat="1" x14ac:dyDescent="0.25">
      <c r="B35" s="498" t="s">
        <v>138</v>
      </c>
      <c r="C35" s="499" t="s">
        <v>10</v>
      </c>
      <c r="D35" s="1034">
        <f t="shared" si="1"/>
        <v>0</v>
      </c>
      <c r="E35" s="1078"/>
      <c r="F35" s="1035">
        <f t="shared" si="23"/>
        <v>0</v>
      </c>
      <c r="G35" s="305"/>
      <c r="H35" s="306"/>
      <c r="I35" s="307"/>
      <c r="J35" s="145">
        <f t="shared" si="24"/>
        <v>0</v>
      </c>
      <c r="K35" s="305"/>
      <c r="L35" s="306"/>
      <c r="M35" s="307"/>
      <c r="N35" s="561"/>
      <c r="O35" s="1079"/>
      <c r="P35" s="1080"/>
    </row>
    <row r="36" spans="2:16" s="1" customFormat="1" x14ac:dyDescent="0.25">
      <c r="B36" s="498" t="s">
        <v>140</v>
      </c>
      <c r="C36" s="499" t="s">
        <v>11</v>
      </c>
      <c r="D36" s="1034">
        <f t="shared" si="1"/>
        <v>0</v>
      </c>
      <c r="E36" s="1078"/>
      <c r="F36" s="1035">
        <f t="shared" si="23"/>
        <v>0</v>
      </c>
      <c r="G36" s="305"/>
      <c r="H36" s="306"/>
      <c r="I36" s="307"/>
      <c r="J36" s="145">
        <f t="shared" si="24"/>
        <v>0</v>
      </c>
      <c r="K36" s="305"/>
      <c r="L36" s="306"/>
      <c r="M36" s="307"/>
      <c r="N36" s="561"/>
      <c r="O36" s="1079"/>
      <c r="P36" s="1080"/>
    </row>
    <row r="37" spans="2:16" s="1" customFormat="1" x14ac:dyDescent="0.25">
      <c r="B37" s="498" t="s">
        <v>607</v>
      </c>
      <c r="C37" s="499" t="s">
        <v>13</v>
      </c>
      <c r="D37" s="1034">
        <f t="shared" si="1"/>
        <v>0</v>
      </c>
      <c r="E37" s="1078"/>
      <c r="F37" s="1035">
        <f t="shared" si="23"/>
        <v>0</v>
      </c>
      <c r="G37" s="305"/>
      <c r="H37" s="306"/>
      <c r="I37" s="307"/>
      <c r="J37" s="145">
        <f t="shared" si="24"/>
        <v>0</v>
      </c>
      <c r="K37" s="305"/>
      <c r="L37" s="306"/>
      <c r="M37" s="307"/>
      <c r="N37" s="561"/>
      <c r="O37" s="1079"/>
      <c r="P37" s="1080"/>
    </row>
    <row r="38" spans="2:16" s="1" customFormat="1" x14ac:dyDescent="0.25">
      <c r="B38" s="488" t="s">
        <v>141</v>
      </c>
      <c r="C38" s="509" t="s">
        <v>15</v>
      </c>
      <c r="D38" s="1034">
        <f t="shared" si="1"/>
        <v>838.49702000000002</v>
      </c>
      <c r="E38" s="1035">
        <f>SUM(E39:E42)</f>
        <v>0</v>
      </c>
      <c r="F38" s="1035">
        <f t="shared" si="23"/>
        <v>205.02701000000002</v>
      </c>
      <c r="G38" s="146">
        <f>SUM(G39:G42)</f>
        <v>27.357759999999999</v>
      </c>
      <c r="H38" s="147">
        <f>SUM(H39:H42)</f>
        <v>8.0195299999999996</v>
      </c>
      <c r="I38" s="148">
        <f>SUM(I39:I42)</f>
        <v>169.64972</v>
      </c>
      <c r="J38" s="145">
        <f t="shared" si="24"/>
        <v>633.47001</v>
      </c>
      <c r="K38" s="146">
        <f t="shared" ref="K38:P38" si="26">SUM(K39:K42)</f>
        <v>630.6807</v>
      </c>
      <c r="L38" s="147">
        <f t="shared" si="26"/>
        <v>2.78931</v>
      </c>
      <c r="M38" s="148">
        <f t="shared" si="26"/>
        <v>0</v>
      </c>
      <c r="N38" s="1036">
        <f t="shared" si="26"/>
        <v>0</v>
      </c>
      <c r="O38" s="144">
        <f t="shared" si="26"/>
        <v>0</v>
      </c>
      <c r="P38" s="1035">
        <f t="shared" si="26"/>
        <v>0</v>
      </c>
    </row>
    <row r="39" spans="2:16" s="1" customFormat="1" x14ac:dyDescent="0.25">
      <c r="B39" s="498" t="s">
        <v>143</v>
      </c>
      <c r="C39" s="499" t="s">
        <v>17</v>
      </c>
      <c r="D39" s="1034">
        <f t="shared" si="1"/>
        <v>11.033290000000001</v>
      </c>
      <c r="E39" s="1078"/>
      <c r="F39" s="1035">
        <f t="shared" si="23"/>
        <v>9.41343</v>
      </c>
      <c r="G39" s="305">
        <v>1.3938999999999999</v>
      </c>
      <c r="H39" s="306">
        <v>8.0195299999999996</v>
      </c>
      <c r="I39" s="307"/>
      <c r="J39" s="145">
        <f t="shared" si="24"/>
        <v>1.6198600000000001</v>
      </c>
      <c r="K39" s="305">
        <v>0.33294000000000001</v>
      </c>
      <c r="L39" s="306">
        <v>1.2869200000000001</v>
      </c>
      <c r="M39" s="307"/>
      <c r="N39" s="561"/>
      <c r="O39" s="1079"/>
      <c r="P39" s="1080"/>
    </row>
    <row r="40" spans="2:16" s="1" customFormat="1" x14ac:dyDescent="0.25">
      <c r="B40" s="498" t="s">
        <v>145</v>
      </c>
      <c r="C40" s="499" t="s">
        <v>597</v>
      </c>
      <c r="D40" s="1034">
        <f t="shared" si="1"/>
        <v>1.4009799999999999</v>
      </c>
      <c r="E40" s="1078"/>
      <c r="F40" s="1035">
        <f t="shared" si="23"/>
        <v>1.4009799999999999</v>
      </c>
      <c r="G40" s="305">
        <v>1.4009799999999999</v>
      </c>
      <c r="H40" s="306"/>
      <c r="I40" s="307"/>
      <c r="J40" s="145">
        <f t="shared" si="24"/>
        <v>0</v>
      </c>
      <c r="K40" s="305"/>
      <c r="L40" s="306"/>
      <c r="M40" s="307"/>
      <c r="N40" s="561"/>
      <c r="O40" s="1079"/>
      <c r="P40" s="1080"/>
    </row>
    <row r="41" spans="2:16" s="1" customFormat="1" x14ac:dyDescent="0.25">
      <c r="B41" s="498" t="s">
        <v>608</v>
      </c>
      <c r="C41" s="499" t="s">
        <v>23</v>
      </c>
      <c r="D41" s="1034">
        <f t="shared" si="1"/>
        <v>781.09420999999998</v>
      </c>
      <c r="E41" s="1078"/>
      <c r="F41" s="1035">
        <f t="shared" si="23"/>
        <v>169.41528</v>
      </c>
      <c r="G41" s="305"/>
      <c r="H41" s="306"/>
      <c r="I41" s="307">
        <v>169.41528</v>
      </c>
      <c r="J41" s="145">
        <f t="shared" si="24"/>
        <v>611.67893000000004</v>
      </c>
      <c r="K41" s="305">
        <v>611.67893000000004</v>
      </c>
      <c r="L41" s="306"/>
      <c r="M41" s="307"/>
      <c r="N41" s="561"/>
      <c r="O41" s="1079"/>
      <c r="P41" s="1080"/>
    </row>
    <row r="42" spans="2:16" s="1" customFormat="1" ht="38.25" x14ac:dyDescent="0.25">
      <c r="B42" s="498" t="s">
        <v>609</v>
      </c>
      <c r="C42" s="499" t="s">
        <v>599</v>
      </c>
      <c r="D42" s="1034">
        <f t="shared" si="1"/>
        <v>44.968539999999997</v>
      </c>
      <c r="E42" s="1078"/>
      <c r="F42" s="1035">
        <f t="shared" si="23"/>
        <v>24.797319999999999</v>
      </c>
      <c r="G42" s="305">
        <v>24.56288</v>
      </c>
      <c r="H42" s="306"/>
      <c r="I42" s="307">
        <v>0.23444000000000001</v>
      </c>
      <c r="J42" s="145">
        <f t="shared" si="24"/>
        <v>20.171219999999998</v>
      </c>
      <c r="K42" s="305">
        <v>18.66883</v>
      </c>
      <c r="L42" s="306">
        <v>1.5023899999999999</v>
      </c>
      <c r="M42" s="307"/>
      <c r="N42" s="561"/>
      <c r="O42" s="1079"/>
      <c r="P42" s="1080"/>
    </row>
    <row r="43" spans="2:16" s="1" customFormat="1" x14ac:dyDescent="0.25">
      <c r="B43" s="488" t="s">
        <v>302</v>
      </c>
      <c r="C43" s="513" t="s">
        <v>27</v>
      </c>
      <c r="D43" s="1034">
        <f t="shared" si="1"/>
        <v>144.87802099999999</v>
      </c>
      <c r="E43" s="1035">
        <f>SUM(E44:E45)</f>
        <v>0</v>
      </c>
      <c r="F43" s="1035">
        <f t="shared" si="23"/>
        <v>119.56702</v>
      </c>
      <c r="G43" s="146">
        <f>SUM(G44:G45)</f>
        <v>3.2822100000000001</v>
      </c>
      <c r="H43" s="147">
        <f>SUM(H44:H45)</f>
        <v>94.830619999999996</v>
      </c>
      <c r="I43" s="148">
        <f>SUM(I44:I45)</f>
        <v>21.454190000000001</v>
      </c>
      <c r="J43" s="145">
        <f t="shared" si="24"/>
        <v>25.311001000000001</v>
      </c>
      <c r="K43" s="146">
        <f t="shared" ref="K43:P43" si="27">SUM(K44:K45)</f>
        <v>11.346769999999999</v>
      </c>
      <c r="L43" s="147">
        <f t="shared" si="27"/>
        <v>10.403251000000001</v>
      </c>
      <c r="M43" s="148">
        <f t="shared" si="27"/>
        <v>3.5609799999999998</v>
      </c>
      <c r="N43" s="1036">
        <f t="shared" si="27"/>
        <v>0</v>
      </c>
      <c r="O43" s="144">
        <f t="shared" si="27"/>
        <v>0</v>
      </c>
      <c r="P43" s="1035">
        <f t="shared" si="27"/>
        <v>0</v>
      </c>
    </row>
    <row r="44" spans="2:16" s="1" customFormat="1" ht="51.75" x14ac:dyDescent="0.25">
      <c r="B44" s="498" t="s">
        <v>304</v>
      </c>
      <c r="C44" s="514" t="s">
        <v>29</v>
      </c>
      <c r="D44" s="1034">
        <f t="shared" si="1"/>
        <v>139.19884100000002</v>
      </c>
      <c r="E44" s="1078"/>
      <c r="F44" s="1035">
        <f t="shared" si="23"/>
        <v>119.56702</v>
      </c>
      <c r="G44" s="305">
        <v>3.2822100000000001</v>
      </c>
      <c r="H44" s="306">
        <v>94.830619999999996</v>
      </c>
      <c r="I44" s="307">
        <v>21.454190000000001</v>
      </c>
      <c r="J44" s="145">
        <f t="shared" si="24"/>
        <v>19.631821000000002</v>
      </c>
      <c r="K44" s="305">
        <v>7.0958800000000002</v>
      </c>
      <c r="L44" s="306">
        <v>8.9749610000000004</v>
      </c>
      <c r="M44" s="307">
        <v>3.5609799999999998</v>
      </c>
      <c r="N44" s="561"/>
      <c r="O44" s="1079"/>
      <c r="P44" s="1080"/>
    </row>
    <row r="45" spans="2:16" s="1" customFormat="1" x14ac:dyDescent="0.25">
      <c r="B45" s="498" t="s">
        <v>305</v>
      </c>
      <c r="C45" s="514" t="s">
        <v>31</v>
      </c>
      <c r="D45" s="1034">
        <f t="shared" si="1"/>
        <v>5.6791800000000006</v>
      </c>
      <c r="E45" s="1078"/>
      <c r="F45" s="1035">
        <f t="shared" si="23"/>
        <v>0</v>
      </c>
      <c r="G45" s="305"/>
      <c r="H45" s="306"/>
      <c r="I45" s="307"/>
      <c r="J45" s="145">
        <f t="shared" si="24"/>
        <v>5.6791800000000006</v>
      </c>
      <c r="K45" s="305">
        <v>4.2508900000000001</v>
      </c>
      <c r="L45" s="306">
        <v>1.4282900000000001</v>
      </c>
      <c r="M45" s="307"/>
      <c r="N45" s="561"/>
      <c r="O45" s="1079"/>
      <c r="P45" s="1080"/>
    </row>
    <row r="46" spans="2:16" s="1" customFormat="1" x14ac:dyDescent="0.25">
      <c r="B46" s="488" t="s">
        <v>307</v>
      </c>
      <c r="C46" s="513" t="s">
        <v>33</v>
      </c>
      <c r="D46" s="1034">
        <f t="shared" si="1"/>
        <v>17.019030000000001</v>
      </c>
      <c r="E46" s="1035">
        <f>SUM(E47:E48)</f>
        <v>0</v>
      </c>
      <c r="F46" s="1035">
        <f t="shared" si="23"/>
        <v>13.33803</v>
      </c>
      <c r="G46" s="146">
        <f>SUM(G47:G48)</f>
        <v>0.62361</v>
      </c>
      <c r="H46" s="147">
        <f>SUM(H47:H48)</f>
        <v>5.8057400000000001</v>
      </c>
      <c r="I46" s="148">
        <f>SUM(I47:I48)</f>
        <v>6.9086800000000004</v>
      </c>
      <c r="J46" s="145">
        <f t="shared" si="24"/>
        <v>3.681</v>
      </c>
      <c r="K46" s="146">
        <f t="shared" ref="K46:P46" si="28">SUM(K47:K48)</f>
        <v>0.50124999999999997</v>
      </c>
      <c r="L46" s="147">
        <f t="shared" si="28"/>
        <v>3.1797499999999999</v>
      </c>
      <c r="M46" s="148">
        <f t="shared" si="28"/>
        <v>0</v>
      </c>
      <c r="N46" s="1036">
        <f t="shared" si="28"/>
        <v>0</v>
      </c>
      <c r="O46" s="144">
        <f t="shared" si="28"/>
        <v>0</v>
      </c>
      <c r="P46" s="1035">
        <f t="shared" si="28"/>
        <v>0</v>
      </c>
    </row>
    <row r="47" spans="2:16" s="1" customFormat="1" x14ac:dyDescent="0.25">
      <c r="B47" s="498" t="s">
        <v>308</v>
      </c>
      <c r="C47" s="514" t="s">
        <v>600</v>
      </c>
      <c r="D47" s="1034">
        <f t="shared" si="1"/>
        <v>0</v>
      </c>
      <c r="E47" s="1078"/>
      <c r="F47" s="1035">
        <f t="shared" si="23"/>
        <v>0</v>
      </c>
      <c r="G47" s="305"/>
      <c r="H47" s="306"/>
      <c r="I47" s="307"/>
      <c r="J47" s="145">
        <f t="shared" si="24"/>
        <v>0</v>
      </c>
      <c r="K47" s="305"/>
      <c r="L47" s="306"/>
      <c r="M47" s="307"/>
      <c r="N47" s="561"/>
      <c r="O47" s="1079"/>
      <c r="P47" s="1080"/>
    </row>
    <row r="48" spans="2:16" s="1" customFormat="1" ht="26.25" x14ac:dyDescent="0.25">
      <c r="B48" s="498" t="s">
        <v>308</v>
      </c>
      <c r="C48" s="570" t="s">
        <v>601</v>
      </c>
      <c r="D48" s="1034">
        <f t="shared" si="1"/>
        <v>17.019030000000001</v>
      </c>
      <c r="E48" s="1078"/>
      <c r="F48" s="1035">
        <f t="shared" si="23"/>
        <v>13.33803</v>
      </c>
      <c r="G48" s="305">
        <v>0.62361</v>
      </c>
      <c r="H48" s="306">
        <v>5.8057400000000001</v>
      </c>
      <c r="I48" s="307">
        <v>6.9086800000000004</v>
      </c>
      <c r="J48" s="145">
        <f t="shared" si="24"/>
        <v>3.681</v>
      </c>
      <c r="K48" s="305">
        <v>0.50124999999999997</v>
      </c>
      <c r="L48" s="306">
        <v>3.1797499999999999</v>
      </c>
      <c r="M48" s="307"/>
      <c r="N48" s="561"/>
      <c r="O48" s="1079"/>
      <c r="P48" s="1080"/>
    </row>
    <row r="49" spans="2:17" s="1" customFormat="1" x14ac:dyDescent="0.25">
      <c r="B49" s="488" t="s">
        <v>312</v>
      </c>
      <c r="C49" s="525" t="s">
        <v>39</v>
      </c>
      <c r="D49" s="1046">
        <f t="shared" si="1"/>
        <v>19.81636</v>
      </c>
      <c r="E49" s="1047">
        <f>SUM(E50:E51)</f>
        <v>0</v>
      </c>
      <c r="F49" s="1047">
        <f t="shared" si="23"/>
        <v>0</v>
      </c>
      <c r="G49" s="1048">
        <f>SUM(G50:G51)</f>
        <v>0</v>
      </c>
      <c r="H49" s="1049">
        <f>SUM(H50:H51)</f>
        <v>0</v>
      </c>
      <c r="I49" s="1050">
        <f>SUM(I50:I51)</f>
        <v>0</v>
      </c>
      <c r="J49" s="1051">
        <f t="shared" si="24"/>
        <v>19.81636</v>
      </c>
      <c r="K49" s="1048">
        <f t="shared" ref="K49:P49" si="29">SUM(K50:K51)</f>
        <v>19.81636</v>
      </c>
      <c r="L49" s="1049">
        <f t="shared" si="29"/>
        <v>0</v>
      </c>
      <c r="M49" s="1050">
        <f t="shared" si="29"/>
        <v>0</v>
      </c>
      <c r="N49" s="1052">
        <f t="shared" si="29"/>
        <v>0</v>
      </c>
      <c r="O49" s="1053">
        <f t="shared" si="29"/>
        <v>0</v>
      </c>
      <c r="P49" s="1047">
        <f t="shared" si="29"/>
        <v>0</v>
      </c>
    </row>
    <row r="50" spans="2:17" s="1" customFormat="1" x14ac:dyDescent="0.25">
      <c r="B50" s="1054" t="s">
        <v>314</v>
      </c>
      <c r="C50" s="534" t="s">
        <v>41</v>
      </c>
      <c r="D50" s="1055">
        <f t="shared" si="1"/>
        <v>0</v>
      </c>
      <c r="E50" s="1078"/>
      <c r="F50" s="1035">
        <f t="shared" si="23"/>
        <v>0</v>
      </c>
      <c r="G50" s="305"/>
      <c r="H50" s="306"/>
      <c r="I50" s="307"/>
      <c r="J50" s="1051">
        <f t="shared" si="24"/>
        <v>0</v>
      </c>
      <c r="K50" s="305"/>
      <c r="L50" s="306"/>
      <c r="M50" s="307"/>
      <c r="N50" s="561"/>
      <c r="O50" s="1079"/>
      <c r="P50" s="1080"/>
    </row>
    <row r="51" spans="2:17" s="1" customFormat="1" ht="26.25" x14ac:dyDescent="0.25">
      <c r="B51" s="1054" t="s">
        <v>316</v>
      </c>
      <c r="C51" s="541" t="s">
        <v>43</v>
      </c>
      <c r="D51" s="1046">
        <f t="shared" si="1"/>
        <v>19.81636</v>
      </c>
      <c r="E51" s="1078"/>
      <c r="F51" s="1035">
        <f t="shared" si="23"/>
        <v>0</v>
      </c>
      <c r="G51" s="305"/>
      <c r="H51" s="306"/>
      <c r="I51" s="307"/>
      <c r="J51" s="1051">
        <f t="shared" si="24"/>
        <v>19.81636</v>
      </c>
      <c r="K51" s="305">
        <v>19.81636</v>
      </c>
      <c r="L51" s="306"/>
      <c r="M51" s="307"/>
      <c r="N51" s="561"/>
      <c r="O51" s="1079"/>
      <c r="P51" s="1080"/>
    </row>
    <row r="52" spans="2:17" s="1" customFormat="1" x14ac:dyDescent="0.25">
      <c r="B52" s="1065" t="s">
        <v>318</v>
      </c>
      <c r="C52" s="545" t="s">
        <v>602</v>
      </c>
      <c r="D52" s="1046">
        <f t="shared" si="1"/>
        <v>0</v>
      </c>
      <c r="E52" s="1047">
        <f>SUM(E53:E55)</f>
        <v>0</v>
      </c>
      <c r="F52" s="1047">
        <f t="shared" si="23"/>
        <v>0</v>
      </c>
      <c r="G52" s="1048">
        <f>SUM(G53:G55)</f>
        <v>0</v>
      </c>
      <c r="H52" s="1049">
        <f>SUM(H53:H55)</f>
        <v>0</v>
      </c>
      <c r="I52" s="1050">
        <f>SUM(I53:I55)</f>
        <v>0</v>
      </c>
      <c r="J52" s="1051">
        <f t="shared" si="24"/>
        <v>0</v>
      </c>
      <c r="K52" s="1048">
        <f t="shared" ref="K52:P52" si="30">SUM(K53:K55)</f>
        <v>0</v>
      </c>
      <c r="L52" s="1049">
        <f t="shared" si="30"/>
        <v>0</v>
      </c>
      <c r="M52" s="1050">
        <f t="shared" si="30"/>
        <v>0</v>
      </c>
      <c r="N52" s="1052">
        <f t="shared" si="30"/>
        <v>0</v>
      </c>
      <c r="O52" s="1053">
        <f t="shared" si="30"/>
        <v>0</v>
      </c>
      <c r="P52" s="1047">
        <f t="shared" si="30"/>
        <v>0</v>
      </c>
    </row>
    <row r="53" spans="2:17" s="1" customFormat="1" x14ac:dyDescent="0.25">
      <c r="B53" s="1066" t="s">
        <v>320</v>
      </c>
      <c r="C53" s="1067" t="s">
        <v>603</v>
      </c>
      <c r="D53" s="1046">
        <f t="shared" si="1"/>
        <v>0</v>
      </c>
      <c r="E53" s="1078"/>
      <c r="F53" s="1035">
        <f t="shared" si="23"/>
        <v>0</v>
      </c>
      <c r="G53" s="305"/>
      <c r="H53" s="306"/>
      <c r="I53" s="307"/>
      <c r="J53" s="1051">
        <f t="shared" si="24"/>
        <v>0</v>
      </c>
      <c r="K53" s="305"/>
      <c r="L53" s="306"/>
      <c r="M53" s="307"/>
      <c r="N53" s="561"/>
      <c r="O53" s="1079"/>
      <c r="P53" s="1080"/>
    </row>
    <row r="54" spans="2:17" s="1" customFormat="1" x14ac:dyDescent="0.25">
      <c r="B54" s="1066" t="s">
        <v>610</v>
      </c>
      <c r="C54" s="1067" t="s">
        <v>603</v>
      </c>
      <c r="D54" s="1046">
        <f t="shared" si="1"/>
        <v>0</v>
      </c>
      <c r="E54" s="1078"/>
      <c r="F54" s="1035">
        <f t="shared" si="23"/>
        <v>0</v>
      </c>
      <c r="G54" s="305"/>
      <c r="H54" s="306"/>
      <c r="I54" s="307"/>
      <c r="J54" s="1051">
        <f t="shared" si="24"/>
        <v>0</v>
      </c>
      <c r="K54" s="305"/>
      <c r="L54" s="306"/>
      <c r="M54" s="307"/>
      <c r="N54" s="561"/>
      <c r="O54" s="1079"/>
      <c r="P54" s="1080"/>
    </row>
    <row r="55" spans="2:17" s="1" customFormat="1" ht="15.75" thickBot="1" x14ac:dyDescent="0.3">
      <c r="B55" s="1068" t="s">
        <v>611</v>
      </c>
      <c r="C55" s="1067" t="s">
        <v>603</v>
      </c>
      <c r="D55" s="1069">
        <f t="shared" si="1"/>
        <v>0</v>
      </c>
      <c r="E55" s="1081"/>
      <c r="F55" s="1082">
        <f t="shared" si="23"/>
        <v>0</v>
      </c>
      <c r="G55" s="1083"/>
      <c r="H55" s="1084"/>
      <c r="I55" s="1085"/>
      <c r="J55" s="1051">
        <f t="shared" si="24"/>
        <v>0</v>
      </c>
      <c r="K55" s="1083"/>
      <c r="L55" s="1084"/>
      <c r="M55" s="1085"/>
      <c r="N55" s="1086"/>
      <c r="O55" s="1087"/>
      <c r="P55" s="1088"/>
    </row>
    <row r="56" spans="2:17" s="1" customFormat="1" ht="16.5" thickTop="1" thickBot="1" x14ac:dyDescent="0.3">
      <c r="B56" s="478" t="s">
        <v>59</v>
      </c>
      <c r="C56" s="478" t="s">
        <v>612</v>
      </c>
      <c r="D56" s="1026">
        <f t="shared" ref="D56:P56" si="31">D57+D61+D66+D69+D72+D75</f>
        <v>90.804269999999988</v>
      </c>
      <c r="E56" s="1027">
        <f t="shared" si="31"/>
        <v>0</v>
      </c>
      <c r="F56" s="1027">
        <f t="shared" si="31"/>
        <v>83.548645645000008</v>
      </c>
      <c r="G56" s="1028">
        <f t="shared" si="31"/>
        <v>15.497736905000004</v>
      </c>
      <c r="H56" s="1029">
        <f t="shared" si="31"/>
        <v>53.872398656000001</v>
      </c>
      <c r="I56" s="1030">
        <f t="shared" si="31"/>
        <v>14.178510083999999</v>
      </c>
      <c r="J56" s="1031">
        <f t="shared" si="31"/>
        <v>7.255624355000001</v>
      </c>
      <c r="K56" s="1028">
        <f t="shared" si="31"/>
        <v>5.2064571650000007</v>
      </c>
      <c r="L56" s="1029">
        <f t="shared" si="31"/>
        <v>1.6830689750000001</v>
      </c>
      <c r="M56" s="1030">
        <f t="shared" si="31"/>
        <v>0.36609821500000006</v>
      </c>
      <c r="N56" s="1032">
        <f t="shared" si="31"/>
        <v>0</v>
      </c>
      <c r="O56" s="1033">
        <f t="shared" si="31"/>
        <v>0</v>
      </c>
      <c r="P56" s="1027">
        <f t="shared" si="31"/>
        <v>0</v>
      </c>
      <c r="Q56" s="591"/>
    </row>
    <row r="57" spans="2:17" s="1" customFormat="1" ht="15.75" thickTop="1" x14ac:dyDescent="0.25">
      <c r="B57" s="488" t="s">
        <v>150</v>
      </c>
      <c r="C57" s="489" t="s">
        <v>8</v>
      </c>
      <c r="D57" s="1034">
        <f>SUM(D58:D60)</f>
        <v>0</v>
      </c>
      <c r="E57" s="1035">
        <f>SUM(E58:E60)</f>
        <v>0</v>
      </c>
      <c r="F57" s="1035">
        <f t="shared" ref="F57:F78" si="32">SUM(G57:I57)</f>
        <v>0</v>
      </c>
      <c r="G57" s="146">
        <f>SUM(G58:G60)</f>
        <v>0</v>
      </c>
      <c r="H57" s="147">
        <f>SUM(H58:H60)</f>
        <v>0</v>
      </c>
      <c r="I57" s="148">
        <f>SUM(I58:I60)</f>
        <v>0</v>
      </c>
      <c r="J57" s="145">
        <f t="shared" ref="J57:J78" si="33">SUM(K57:M57)</f>
        <v>0</v>
      </c>
      <c r="K57" s="146">
        <f t="shared" ref="K57:P57" si="34">SUM(K58:K60)</f>
        <v>0</v>
      </c>
      <c r="L57" s="147">
        <f t="shared" si="34"/>
        <v>0</v>
      </c>
      <c r="M57" s="148">
        <f t="shared" si="34"/>
        <v>0</v>
      </c>
      <c r="N57" s="1036">
        <f t="shared" si="34"/>
        <v>0</v>
      </c>
      <c r="O57" s="144">
        <f t="shared" si="34"/>
        <v>0</v>
      </c>
      <c r="P57" s="1035">
        <f t="shared" si="34"/>
        <v>0</v>
      </c>
    </row>
    <row r="58" spans="2:17" s="1" customFormat="1" x14ac:dyDescent="0.25">
      <c r="B58" s="498" t="s">
        <v>410</v>
      </c>
      <c r="C58" s="499" t="s">
        <v>10</v>
      </c>
      <c r="D58" s="592"/>
      <c r="E58" s="1037">
        <f>IFERROR($D58*E80/100, 0)</f>
        <v>0</v>
      </c>
      <c r="F58" s="1037">
        <f t="shared" si="32"/>
        <v>0</v>
      </c>
      <c r="G58" s="349">
        <f t="shared" ref="G58:I60" si="35">IFERROR($D58*G80/100, 0)</f>
        <v>0</v>
      </c>
      <c r="H58" s="350">
        <f t="shared" si="35"/>
        <v>0</v>
      </c>
      <c r="I58" s="351">
        <f t="shared" si="35"/>
        <v>0</v>
      </c>
      <c r="J58" s="304">
        <f t="shared" si="33"/>
        <v>0</v>
      </c>
      <c r="K58" s="349">
        <f t="shared" ref="K58:P60" si="36">IFERROR($D58*K80/100, 0)</f>
        <v>0</v>
      </c>
      <c r="L58" s="350">
        <f t="shared" si="36"/>
        <v>0</v>
      </c>
      <c r="M58" s="351">
        <f t="shared" si="36"/>
        <v>0</v>
      </c>
      <c r="N58" s="1038">
        <f t="shared" si="36"/>
        <v>0</v>
      </c>
      <c r="O58" s="348">
        <f t="shared" si="36"/>
        <v>0</v>
      </c>
      <c r="P58" s="1037">
        <f t="shared" si="36"/>
        <v>0</v>
      </c>
    </row>
    <row r="59" spans="2:17" s="1" customFormat="1" x14ac:dyDescent="0.25">
      <c r="B59" s="498" t="s">
        <v>411</v>
      </c>
      <c r="C59" s="499" t="s">
        <v>11</v>
      </c>
      <c r="D59" s="592"/>
      <c r="E59" s="1037">
        <f>IFERROR($D59*E81/100, 0)</f>
        <v>0</v>
      </c>
      <c r="F59" s="1037">
        <f t="shared" si="32"/>
        <v>0</v>
      </c>
      <c r="G59" s="349">
        <f t="shared" si="35"/>
        <v>0</v>
      </c>
      <c r="H59" s="350">
        <f t="shared" si="35"/>
        <v>0</v>
      </c>
      <c r="I59" s="351">
        <f t="shared" si="35"/>
        <v>0</v>
      </c>
      <c r="J59" s="304">
        <f t="shared" si="33"/>
        <v>0</v>
      </c>
      <c r="K59" s="349">
        <f t="shared" si="36"/>
        <v>0</v>
      </c>
      <c r="L59" s="350">
        <f t="shared" si="36"/>
        <v>0</v>
      </c>
      <c r="M59" s="351">
        <f t="shared" si="36"/>
        <v>0</v>
      </c>
      <c r="N59" s="1038">
        <f t="shared" si="36"/>
        <v>0</v>
      </c>
      <c r="O59" s="348">
        <f t="shared" si="36"/>
        <v>0</v>
      </c>
      <c r="P59" s="1037">
        <f t="shared" si="36"/>
        <v>0</v>
      </c>
    </row>
    <row r="60" spans="2:17" s="1" customFormat="1" x14ac:dyDescent="0.25">
      <c r="B60" s="498" t="s">
        <v>613</v>
      </c>
      <c r="C60" s="499" t="s">
        <v>13</v>
      </c>
      <c r="D60" s="592"/>
      <c r="E60" s="1037">
        <f>IFERROR($D60*E82/100, 0)</f>
        <v>0</v>
      </c>
      <c r="F60" s="1037">
        <f t="shared" si="32"/>
        <v>0</v>
      </c>
      <c r="G60" s="349">
        <f t="shared" si="35"/>
        <v>0</v>
      </c>
      <c r="H60" s="350">
        <f t="shared" si="35"/>
        <v>0</v>
      </c>
      <c r="I60" s="351">
        <f t="shared" si="35"/>
        <v>0</v>
      </c>
      <c r="J60" s="304">
        <f t="shared" si="33"/>
        <v>0</v>
      </c>
      <c r="K60" s="349">
        <f t="shared" si="36"/>
        <v>0</v>
      </c>
      <c r="L60" s="350">
        <f t="shared" si="36"/>
        <v>0</v>
      </c>
      <c r="M60" s="351">
        <f t="shared" si="36"/>
        <v>0</v>
      </c>
      <c r="N60" s="1038">
        <f t="shared" si="36"/>
        <v>0</v>
      </c>
      <c r="O60" s="348">
        <f t="shared" si="36"/>
        <v>0</v>
      </c>
      <c r="P60" s="1037">
        <f t="shared" si="36"/>
        <v>0</v>
      </c>
    </row>
    <row r="61" spans="2:17" s="1" customFormat="1" x14ac:dyDescent="0.25">
      <c r="B61" s="488" t="s">
        <v>152</v>
      </c>
      <c r="C61" s="509" t="s">
        <v>15</v>
      </c>
      <c r="D61" s="1034">
        <f>SUM(D62:D65)</f>
        <v>66.233919999999998</v>
      </c>
      <c r="E61" s="1035">
        <f>SUM(E62:E65)</f>
        <v>0</v>
      </c>
      <c r="F61" s="1035">
        <f t="shared" si="32"/>
        <v>66.233920000000012</v>
      </c>
      <c r="G61" s="146">
        <f>SUM(G62:G65)</f>
        <v>12.286392160000002</v>
      </c>
      <c r="H61" s="147">
        <f>SUM(H62:H65)</f>
        <v>42.707631616</v>
      </c>
      <c r="I61" s="148">
        <f>SUM(I62:I65)</f>
        <v>11.239896223999999</v>
      </c>
      <c r="J61" s="145">
        <f t="shared" si="33"/>
        <v>0</v>
      </c>
      <c r="K61" s="146">
        <f t="shared" ref="K61:P61" si="37">SUM(K62:K65)</f>
        <v>0</v>
      </c>
      <c r="L61" s="147">
        <f t="shared" si="37"/>
        <v>0</v>
      </c>
      <c r="M61" s="148">
        <f t="shared" si="37"/>
        <v>0</v>
      </c>
      <c r="N61" s="1036">
        <f t="shared" si="37"/>
        <v>0</v>
      </c>
      <c r="O61" s="144">
        <f t="shared" si="37"/>
        <v>0</v>
      </c>
      <c r="P61" s="1035">
        <f t="shared" si="37"/>
        <v>0</v>
      </c>
    </row>
    <row r="62" spans="2:17" s="1" customFormat="1" x14ac:dyDescent="0.25">
      <c r="B62" s="498" t="s">
        <v>154</v>
      </c>
      <c r="C62" s="499" t="s">
        <v>17</v>
      </c>
      <c r="D62" s="592">
        <v>28.42897</v>
      </c>
      <c r="E62" s="1037">
        <f>IFERROR($D62*E83/100, 0)</f>
        <v>0</v>
      </c>
      <c r="F62" s="1037">
        <f t="shared" si="32"/>
        <v>28.428970000000003</v>
      </c>
      <c r="G62" s="349">
        <f t="shared" ref="G62:I65" si="38">IFERROR($D62*G83/100, 0)</f>
        <v>5.2735739350000008</v>
      </c>
      <c r="H62" s="350">
        <f t="shared" si="38"/>
        <v>18.330999856000002</v>
      </c>
      <c r="I62" s="351">
        <f t="shared" si="38"/>
        <v>4.8243962089999997</v>
      </c>
      <c r="J62" s="304">
        <f t="shared" si="33"/>
        <v>0</v>
      </c>
      <c r="K62" s="349">
        <f t="shared" ref="K62:P65" si="39">IFERROR($D62*K83/100, 0)</f>
        <v>0</v>
      </c>
      <c r="L62" s="350">
        <f t="shared" si="39"/>
        <v>0</v>
      </c>
      <c r="M62" s="351">
        <f t="shared" si="39"/>
        <v>0</v>
      </c>
      <c r="N62" s="1038">
        <f t="shared" si="39"/>
        <v>0</v>
      </c>
      <c r="O62" s="348">
        <f t="shared" si="39"/>
        <v>0</v>
      </c>
      <c r="P62" s="1037">
        <f t="shared" si="39"/>
        <v>0</v>
      </c>
    </row>
    <row r="63" spans="2:17" s="1" customFormat="1" x14ac:dyDescent="0.25">
      <c r="B63" s="498" t="s">
        <v>156</v>
      </c>
      <c r="C63" s="499" t="s">
        <v>597</v>
      </c>
      <c r="D63" s="592">
        <v>37.804949999999998</v>
      </c>
      <c r="E63" s="1037">
        <f>IFERROR($D63*E84/100, 0)</f>
        <v>0</v>
      </c>
      <c r="F63" s="1037">
        <f t="shared" si="32"/>
        <v>37.804949999999998</v>
      </c>
      <c r="G63" s="349">
        <f t="shared" si="38"/>
        <v>7.0128182250000002</v>
      </c>
      <c r="H63" s="350">
        <f t="shared" si="38"/>
        <v>24.376631759999999</v>
      </c>
      <c r="I63" s="351">
        <f t="shared" si="38"/>
        <v>6.4155000149999992</v>
      </c>
      <c r="J63" s="304">
        <f t="shared" si="33"/>
        <v>0</v>
      </c>
      <c r="K63" s="349">
        <f t="shared" si="39"/>
        <v>0</v>
      </c>
      <c r="L63" s="350">
        <f t="shared" si="39"/>
        <v>0</v>
      </c>
      <c r="M63" s="351">
        <f t="shared" si="39"/>
        <v>0</v>
      </c>
      <c r="N63" s="1038">
        <f t="shared" si="39"/>
        <v>0</v>
      </c>
      <c r="O63" s="348">
        <f t="shared" si="39"/>
        <v>0</v>
      </c>
      <c r="P63" s="1037">
        <f t="shared" si="39"/>
        <v>0</v>
      </c>
    </row>
    <row r="64" spans="2:17" s="1" customFormat="1" x14ac:dyDescent="0.25">
      <c r="B64" s="498" t="s">
        <v>158</v>
      </c>
      <c r="C64" s="499" t="s">
        <v>23</v>
      </c>
      <c r="D64" s="592"/>
      <c r="E64" s="1037">
        <f>IFERROR($D64*E85/100, 0)</f>
        <v>0</v>
      </c>
      <c r="F64" s="1037">
        <f t="shared" si="32"/>
        <v>0</v>
      </c>
      <c r="G64" s="349">
        <f t="shared" si="38"/>
        <v>0</v>
      </c>
      <c r="H64" s="350">
        <f t="shared" si="38"/>
        <v>0</v>
      </c>
      <c r="I64" s="351">
        <f t="shared" si="38"/>
        <v>0</v>
      </c>
      <c r="J64" s="304">
        <f t="shared" si="33"/>
        <v>0</v>
      </c>
      <c r="K64" s="349">
        <f t="shared" si="39"/>
        <v>0</v>
      </c>
      <c r="L64" s="350">
        <f t="shared" si="39"/>
        <v>0</v>
      </c>
      <c r="M64" s="351">
        <f t="shared" si="39"/>
        <v>0</v>
      </c>
      <c r="N64" s="1038">
        <f t="shared" si="39"/>
        <v>0</v>
      </c>
      <c r="O64" s="348">
        <f t="shared" si="39"/>
        <v>0</v>
      </c>
      <c r="P64" s="1037">
        <f t="shared" si="39"/>
        <v>0</v>
      </c>
    </row>
    <row r="65" spans="2:16" s="1" customFormat="1" ht="38.25" x14ac:dyDescent="0.25">
      <c r="B65" s="498" t="s">
        <v>614</v>
      </c>
      <c r="C65" s="499" t="s">
        <v>599</v>
      </c>
      <c r="D65" s="592"/>
      <c r="E65" s="1037">
        <f>IFERROR($D65*E86/100, 0)</f>
        <v>0</v>
      </c>
      <c r="F65" s="1037">
        <f t="shared" si="32"/>
        <v>0</v>
      </c>
      <c r="G65" s="349">
        <f t="shared" si="38"/>
        <v>0</v>
      </c>
      <c r="H65" s="350">
        <f t="shared" si="38"/>
        <v>0</v>
      </c>
      <c r="I65" s="351">
        <f t="shared" si="38"/>
        <v>0</v>
      </c>
      <c r="J65" s="304">
        <f t="shared" si="33"/>
        <v>0</v>
      </c>
      <c r="K65" s="349">
        <f t="shared" si="39"/>
        <v>0</v>
      </c>
      <c r="L65" s="350">
        <f t="shared" si="39"/>
        <v>0</v>
      </c>
      <c r="M65" s="351">
        <f t="shared" si="39"/>
        <v>0</v>
      </c>
      <c r="N65" s="1038">
        <f t="shared" si="39"/>
        <v>0</v>
      </c>
      <c r="O65" s="348">
        <f t="shared" si="39"/>
        <v>0</v>
      </c>
      <c r="P65" s="1037">
        <f t="shared" si="39"/>
        <v>0</v>
      </c>
    </row>
    <row r="66" spans="2:16" s="1" customFormat="1" x14ac:dyDescent="0.25">
      <c r="B66" s="488" t="s">
        <v>160</v>
      </c>
      <c r="C66" s="513" t="s">
        <v>27</v>
      </c>
      <c r="D66" s="1034">
        <f>D67+D68</f>
        <v>0</v>
      </c>
      <c r="E66" s="1035">
        <f>E67+E68</f>
        <v>0</v>
      </c>
      <c r="F66" s="1035">
        <f t="shared" si="32"/>
        <v>0</v>
      </c>
      <c r="G66" s="146">
        <f>G67+G68</f>
        <v>0</v>
      </c>
      <c r="H66" s="147">
        <f>H67+H68</f>
        <v>0</v>
      </c>
      <c r="I66" s="148">
        <f>I67+I68</f>
        <v>0</v>
      </c>
      <c r="J66" s="145">
        <f t="shared" si="33"/>
        <v>0</v>
      </c>
      <c r="K66" s="146">
        <f t="shared" ref="K66:P66" si="40">K67+K68</f>
        <v>0</v>
      </c>
      <c r="L66" s="147">
        <f t="shared" si="40"/>
        <v>0</v>
      </c>
      <c r="M66" s="148">
        <f t="shared" si="40"/>
        <v>0</v>
      </c>
      <c r="N66" s="1036">
        <f t="shared" si="40"/>
        <v>0</v>
      </c>
      <c r="O66" s="144">
        <f t="shared" si="40"/>
        <v>0</v>
      </c>
      <c r="P66" s="1035">
        <f t="shared" si="40"/>
        <v>0</v>
      </c>
    </row>
    <row r="67" spans="2:16" s="1" customFormat="1" ht="51.75" x14ac:dyDescent="0.25">
      <c r="B67" s="498" t="s">
        <v>412</v>
      </c>
      <c r="C67" s="514" t="s">
        <v>29</v>
      </c>
      <c r="D67" s="592"/>
      <c r="E67" s="1037">
        <f>IFERROR($D67*E87/100, 0)</f>
        <v>0</v>
      </c>
      <c r="F67" s="1037">
        <f t="shared" si="32"/>
        <v>0</v>
      </c>
      <c r="G67" s="349">
        <f t="shared" ref="G67:I68" si="41">IFERROR($D67*G87/100, 0)</f>
        <v>0</v>
      </c>
      <c r="H67" s="350">
        <f t="shared" si="41"/>
        <v>0</v>
      </c>
      <c r="I67" s="351">
        <f t="shared" si="41"/>
        <v>0</v>
      </c>
      <c r="J67" s="304">
        <f t="shared" si="33"/>
        <v>0</v>
      </c>
      <c r="K67" s="349">
        <f t="shared" ref="K67:P68" si="42">IFERROR($D67*K87/100, 0)</f>
        <v>0</v>
      </c>
      <c r="L67" s="350">
        <f t="shared" si="42"/>
        <v>0</v>
      </c>
      <c r="M67" s="351">
        <f t="shared" si="42"/>
        <v>0</v>
      </c>
      <c r="N67" s="1038">
        <f t="shared" si="42"/>
        <v>0</v>
      </c>
      <c r="O67" s="348">
        <f t="shared" si="42"/>
        <v>0</v>
      </c>
      <c r="P67" s="1037">
        <f t="shared" si="42"/>
        <v>0</v>
      </c>
    </row>
    <row r="68" spans="2:16" s="1" customFormat="1" x14ac:dyDescent="0.25">
      <c r="B68" s="498" t="s">
        <v>615</v>
      </c>
      <c r="C68" s="514" t="s">
        <v>31</v>
      </c>
      <c r="D68" s="592"/>
      <c r="E68" s="1037">
        <f>IFERROR($D68*E88/100, 0)</f>
        <v>0</v>
      </c>
      <c r="F68" s="1037">
        <f t="shared" si="32"/>
        <v>0</v>
      </c>
      <c r="G68" s="349">
        <f t="shared" si="41"/>
        <v>0</v>
      </c>
      <c r="H68" s="350">
        <f t="shared" si="41"/>
        <v>0</v>
      </c>
      <c r="I68" s="351">
        <f t="shared" si="41"/>
        <v>0</v>
      </c>
      <c r="J68" s="304">
        <f t="shared" si="33"/>
        <v>0</v>
      </c>
      <c r="K68" s="349">
        <f t="shared" si="42"/>
        <v>0</v>
      </c>
      <c r="L68" s="350">
        <f t="shared" si="42"/>
        <v>0</v>
      </c>
      <c r="M68" s="351">
        <f t="shared" si="42"/>
        <v>0</v>
      </c>
      <c r="N68" s="1038">
        <f t="shared" si="42"/>
        <v>0</v>
      </c>
      <c r="O68" s="348">
        <f t="shared" si="42"/>
        <v>0</v>
      </c>
      <c r="P68" s="1037">
        <f t="shared" si="42"/>
        <v>0</v>
      </c>
    </row>
    <row r="69" spans="2:16" s="1" customFormat="1" x14ac:dyDescent="0.25">
      <c r="B69" s="488" t="s">
        <v>162</v>
      </c>
      <c r="C69" s="513" t="s">
        <v>33</v>
      </c>
      <c r="D69" s="1034">
        <f>D70+D71</f>
        <v>2.0318100000000001</v>
      </c>
      <c r="E69" s="1035">
        <f>E70+E71</f>
        <v>0</v>
      </c>
      <c r="F69" s="1035">
        <f t="shared" si="32"/>
        <v>1.4318165070000002</v>
      </c>
      <c r="G69" s="146">
        <f>G70+G71</f>
        <v>0.26555756700000005</v>
      </c>
      <c r="H69" s="147">
        <f>H70+H71</f>
        <v>0.923254464</v>
      </c>
      <c r="I69" s="148">
        <f>I70+I71</f>
        <v>0.24300447600000002</v>
      </c>
      <c r="J69" s="145">
        <f t="shared" si="33"/>
        <v>0.59999349300000004</v>
      </c>
      <c r="K69" s="146">
        <f t="shared" ref="K69:P69" si="43">K70+K71</f>
        <v>0.43054053900000006</v>
      </c>
      <c r="L69" s="147">
        <f t="shared" si="43"/>
        <v>0.13917898500000001</v>
      </c>
      <c r="M69" s="148">
        <f t="shared" si="43"/>
        <v>3.0273969000000001E-2</v>
      </c>
      <c r="N69" s="1036">
        <f t="shared" si="43"/>
        <v>0</v>
      </c>
      <c r="O69" s="144">
        <f t="shared" si="43"/>
        <v>0</v>
      </c>
      <c r="P69" s="1035">
        <f t="shared" si="43"/>
        <v>0</v>
      </c>
    </row>
    <row r="70" spans="2:16" s="1" customFormat="1" x14ac:dyDescent="0.25">
      <c r="B70" s="498" t="s">
        <v>413</v>
      </c>
      <c r="C70" s="514" t="s">
        <v>600</v>
      </c>
      <c r="D70" s="592"/>
      <c r="E70" s="1037">
        <f>IFERROR($D70*E89/100, 0)</f>
        <v>0</v>
      </c>
      <c r="F70" s="1037">
        <f t="shared" si="32"/>
        <v>0</v>
      </c>
      <c r="G70" s="349">
        <f t="shared" ref="G70:I71" si="44">IFERROR($D70*G89/100, 0)</f>
        <v>0</v>
      </c>
      <c r="H70" s="350">
        <f t="shared" si="44"/>
        <v>0</v>
      </c>
      <c r="I70" s="351">
        <f t="shared" si="44"/>
        <v>0</v>
      </c>
      <c r="J70" s="304">
        <f t="shared" si="33"/>
        <v>0</v>
      </c>
      <c r="K70" s="349">
        <f t="shared" ref="K70:P71" si="45">IFERROR($D70*K89/100, 0)</f>
        <v>0</v>
      </c>
      <c r="L70" s="350">
        <f t="shared" si="45"/>
        <v>0</v>
      </c>
      <c r="M70" s="351">
        <f t="shared" si="45"/>
        <v>0</v>
      </c>
      <c r="N70" s="1038">
        <f t="shared" si="45"/>
        <v>0</v>
      </c>
      <c r="O70" s="348">
        <f t="shared" si="45"/>
        <v>0</v>
      </c>
      <c r="P70" s="1037">
        <f t="shared" si="45"/>
        <v>0</v>
      </c>
    </row>
    <row r="71" spans="2:16" s="1" customFormat="1" ht="26.25" x14ac:dyDescent="0.25">
      <c r="B71" s="498" t="s">
        <v>414</v>
      </c>
      <c r="C71" s="570" t="s">
        <v>601</v>
      </c>
      <c r="D71" s="592">
        <v>2.0318100000000001</v>
      </c>
      <c r="E71" s="1037">
        <f>IFERROR($D71*E90/100, 0)</f>
        <v>0</v>
      </c>
      <c r="F71" s="1037">
        <f t="shared" si="32"/>
        <v>1.4318165070000002</v>
      </c>
      <c r="G71" s="349">
        <f t="shared" si="44"/>
        <v>0.26555756700000005</v>
      </c>
      <c r="H71" s="350">
        <f t="shared" si="44"/>
        <v>0.923254464</v>
      </c>
      <c r="I71" s="351">
        <f t="shared" si="44"/>
        <v>0.24300447600000002</v>
      </c>
      <c r="J71" s="304">
        <f t="shared" si="33"/>
        <v>0.59999349300000004</v>
      </c>
      <c r="K71" s="349">
        <f t="shared" si="45"/>
        <v>0.43054053900000006</v>
      </c>
      <c r="L71" s="350">
        <f t="shared" si="45"/>
        <v>0.13917898500000001</v>
      </c>
      <c r="M71" s="351">
        <f t="shared" si="45"/>
        <v>3.0273969000000001E-2</v>
      </c>
      <c r="N71" s="1038">
        <f t="shared" si="45"/>
        <v>0</v>
      </c>
      <c r="O71" s="348">
        <f t="shared" si="45"/>
        <v>0</v>
      </c>
      <c r="P71" s="1037">
        <f t="shared" si="45"/>
        <v>0</v>
      </c>
    </row>
    <row r="72" spans="2:16" s="1" customFormat="1" x14ac:dyDescent="0.25">
      <c r="B72" s="488" t="s">
        <v>418</v>
      </c>
      <c r="C72" s="525" t="s">
        <v>39</v>
      </c>
      <c r="D72" s="1046">
        <f>D73+D74</f>
        <v>22.538540000000001</v>
      </c>
      <c r="E72" s="1047">
        <f>E73+E74</f>
        <v>0</v>
      </c>
      <c r="F72" s="1047">
        <f t="shared" si="32"/>
        <v>15.882909138000002</v>
      </c>
      <c r="G72" s="1048">
        <f>G73+G74</f>
        <v>2.9457871780000007</v>
      </c>
      <c r="H72" s="1049">
        <f>H73+H74</f>
        <v>10.241512576</v>
      </c>
      <c r="I72" s="1050">
        <f>I73+I74</f>
        <v>2.6956093840000004</v>
      </c>
      <c r="J72" s="1051">
        <f t="shared" si="33"/>
        <v>6.6556308620000006</v>
      </c>
      <c r="K72" s="1048">
        <f t="shared" ref="K72:P72" si="46">K73+K74</f>
        <v>4.7759166260000008</v>
      </c>
      <c r="L72" s="1049">
        <f t="shared" si="46"/>
        <v>1.54388999</v>
      </c>
      <c r="M72" s="1050">
        <f t="shared" si="46"/>
        <v>0.33582424600000005</v>
      </c>
      <c r="N72" s="1052">
        <f t="shared" si="46"/>
        <v>0</v>
      </c>
      <c r="O72" s="1053">
        <f t="shared" si="46"/>
        <v>0</v>
      </c>
      <c r="P72" s="1047">
        <f t="shared" si="46"/>
        <v>0</v>
      </c>
    </row>
    <row r="73" spans="2:16" s="1" customFormat="1" x14ac:dyDescent="0.25">
      <c r="B73" s="1054" t="s">
        <v>616</v>
      </c>
      <c r="C73" s="534" t="s">
        <v>41</v>
      </c>
      <c r="D73" s="597"/>
      <c r="E73" s="1037">
        <f>IFERROR($D73*E91/100, 0)</f>
        <v>0</v>
      </c>
      <c r="F73" s="1037">
        <f t="shared" si="32"/>
        <v>0</v>
      </c>
      <c r="G73" s="349">
        <f t="shared" ref="G73:I74" si="47">IFERROR($D73*G91/100, 0)</f>
        <v>0</v>
      </c>
      <c r="H73" s="350">
        <f t="shared" si="47"/>
        <v>0</v>
      </c>
      <c r="I73" s="351">
        <f t="shared" si="47"/>
        <v>0</v>
      </c>
      <c r="J73" s="304">
        <f t="shared" si="33"/>
        <v>0</v>
      </c>
      <c r="K73" s="349">
        <f t="shared" ref="K73:P74" si="48">IFERROR($D73*K91/100, 0)</f>
        <v>0</v>
      </c>
      <c r="L73" s="350">
        <f t="shared" si="48"/>
        <v>0</v>
      </c>
      <c r="M73" s="351">
        <f t="shared" si="48"/>
        <v>0</v>
      </c>
      <c r="N73" s="1038">
        <f t="shared" si="48"/>
        <v>0</v>
      </c>
      <c r="O73" s="348">
        <f t="shared" si="48"/>
        <v>0</v>
      </c>
      <c r="P73" s="1037">
        <f t="shared" si="48"/>
        <v>0</v>
      </c>
    </row>
    <row r="74" spans="2:16" s="1" customFormat="1" ht="26.25" x14ac:dyDescent="0.25">
      <c r="B74" s="1054" t="s">
        <v>617</v>
      </c>
      <c r="C74" s="541" t="s">
        <v>43</v>
      </c>
      <c r="D74" s="598">
        <v>22.538540000000001</v>
      </c>
      <c r="E74" s="1037">
        <f>IFERROR($D74*E92/100, 0)</f>
        <v>0</v>
      </c>
      <c r="F74" s="1037">
        <f t="shared" si="32"/>
        <v>15.882909138000002</v>
      </c>
      <c r="G74" s="349">
        <f t="shared" si="47"/>
        <v>2.9457871780000007</v>
      </c>
      <c r="H74" s="350">
        <f t="shared" si="47"/>
        <v>10.241512576</v>
      </c>
      <c r="I74" s="351">
        <f t="shared" si="47"/>
        <v>2.6956093840000004</v>
      </c>
      <c r="J74" s="304">
        <f t="shared" si="33"/>
        <v>6.6556308620000006</v>
      </c>
      <c r="K74" s="349">
        <f t="shared" si="48"/>
        <v>4.7759166260000008</v>
      </c>
      <c r="L74" s="350">
        <f t="shared" si="48"/>
        <v>1.54388999</v>
      </c>
      <c r="M74" s="351">
        <f t="shared" si="48"/>
        <v>0.33582424600000005</v>
      </c>
      <c r="N74" s="1038">
        <f t="shared" si="48"/>
        <v>0</v>
      </c>
      <c r="O74" s="348">
        <f t="shared" si="48"/>
        <v>0</v>
      </c>
      <c r="P74" s="1037">
        <f t="shared" si="48"/>
        <v>0</v>
      </c>
    </row>
    <row r="75" spans="2:16" s="1" customFormat="1" x14ac:dyDescent="0.25">
      <c r="B75" s="1065" t="s">
        <v>419</v>
      </c>
      <c r="C75" s="545" t="s">
        <v>602</v>
      </c>
      <c r="D75" s="1046">
        <f>D76+D77+D78</f>
        <v>0</v>
      </c>
      <c r="E75" s="1047">
        <f>E76+E77</f>
        <v>0</v>
      </c>
      <c r="F75" s="1047">
        <f t="shared" si="32"/>
        <v>0</v>
      </c>
      <c r="G75" s="1048">
        <f>G76+G77</f>
        <v>0</v>
      </c>
      <c r="H75" s="1049">
        <f>H76+H77</f>
        <v>0</v>
      </c>
      <c r="I75" s="1050">
        <f>I76+I77</f>
        <v>0</v>
      </c>
      <c r="J75" s="1051">
        <f t="shared" si="33"/>
        <v>0</v>
      </c>
      <c r="K75" s="1048">
        <f t="shared" ref="K75:P75" si="49">K76+K77</f>
        <v>0</v>
      </c>
      <c r="L75" s="1049">
        <f t="shared" si="49"/>
        <v>0</v>
      </c>
      <c r="M75" s="1050">
        <f t="shared" si="49"/>
        <v>0</v>
      </c>
      <c r="N75" s="1052">
        <f t="shared" si="49"/>
        <v>0</v>
      </c>
      <c r="O75" s="1053">
        <f t="shared" si="49"/>
        <v>0</v>
      </c>
      <c r="P75" s="1047">
        <f t="shared" si="49"/>
        <v>0</v>
      </c>
    </row>
    <row r="76" spans="2:16" s="1" customFormat="1" x14ac:dyDescent="0.25">
      <c r="B76" s="1066" t="s">
        <v>420</v>
      </c>
      <c r="C76" s="1067" t="s">
        <v>603</v>
      </c>
      <c r="D76" s="598"/>
      <c r="E76" s="1037">
        <f>IFERROR($D76*E93/100, 0)</f>
        <v>0</v>
      </c>
      <c r="F76" s="1037">
        <f t="shared" si="32"/>
        <v>0</v>
      </c>
      <c r="G76" s="349">
        <f t="shared" ref="G76:I78" si="50">IFERROR($D76*G93/100, 0)</f>
        <v>0</v>
      </c>
      <c r="H76" s="350">
        <f t="shared" si="50"/>
        <v>0</v>
      </c>
      <c r="I76" s="351">
        <f t="shared" si="50"/>
        <v>0</v>
      </c>
      <c r="J76" s="304">
        <f t="shared" si="33"/>
        <v>0</v>
      </c>
      <c r="K76" s="349">
        <f t="shared" ref="K76:P78" si="51">IFERROR($D76*K93/100, 0)</f>
        <v>0</v>
      </c>
      <c r="L76" s="350">
        <f t="shared" si="51"/>
        <v>0</v>
      </c>
      <c r="M76" s="351">
        <f t="shared" si="51"/>
        <v>0</v>
      </c>
      <c r="N76" s="1038">
        <f t="shared" si="51"/>
        <v>0</v>
      </c>
      <c r="O76" s="348">
        <f t="shared" si="51"/>
        <v>0</v>
      </c>
      <c r="P76" s="1037">
        <f t="shared" si="51"/>
        <v>0</v>
      </c>
    </row>
    <row r="77" spans="2:16" s="1" customFormat="1" x14ac:dyDescent="0.25">
      <c r="B77" s="1054" t="s">
        <v>421</v>
      </c>
      <c r="C77" s="1067" t="s">
        <v>603</v>
      </c>
      <c r="D77" s="598"/>
      <c r="E77" s="1037">
        <f>IFERROR($D77*E94/100, 0)</f>
        <v>0</v>
      </c>
      <c r="F77" s="1037">
        <f t="shared" si="32"/>
        <v>0</v>
      </c>
      <c r="G77" s="349">
        <f t="shared" si="50"/>
        <v>0</v>
      </c>
      <c r="H77" s="350">
        <f t="shared" si="50"/>
        <v>0</v>
      </c>
      <c r="I77" s="351">
        <f t="shared" si="50"/>
        <v>0</v>
      </c>
      <c r="J77" s="304">
        <f t="shared" si="33"/>
        <v>0</v>
      </c>
      <c r="K77" s="349">
        <f t="shared" si="51"/>
        <v>0</v>
      </c>
      <c r="L77" s="350">
        <f t="shared" si="51"/>
        <v>0</v>
      </c>
      <c r="M77" s="351">
        <f t="shared" si="51"/>
        <v>0</v>
      </c>
      <c r="N77" s="1038">
        <f t="shared" si="51"/>
        <v>0</v>
      </c>
      <c r="O77" s="348">
        <f t="shared" si="51"/>
        <v>0</v>
      </c>
      <c r="P77" s="1037">
        <f t="shared" si="51"/>
        <v>0</v>
      </c>
    </row>
    <row r="78" spans="2:16" s="1" customFormat="1" ht="15.75" thickBot="1" x14ac:dyDescent="0.3">
      <c r="B78" s="1089" t="s">
        <v>422</v>
      </c>
      <c r="C78" s="1067" t="s">
        <v>603</v>
      </c>
      <c r="D78" s="597"/>
      <c r="E78" s="1090">
        <f>IFERROR($D78*E95/100, 0)</f>
        <v>0</v>
      </c>
      <c r="F78" s="1090">
        <f t="shared" si="32"/>
        <v>0</v>
      </c>
      <c r="G78" s="1091">
        <f t="shared" si="50"/>
        <v>0</v>
      </c>
      <c r="H78" s="1092">
        <f t="shared" si="50"/>
        <v>0</v>
      </c>
      <c r="I78" s="1093">
        <f t="shared" si="50"/>
        <v>0</v>
      </c>
      <c r="J78" s="1094">
        <f t="shared" si="33"/>
        <v>0</v>
      </c>
      <c r="K78" s="1091">
        <f t="shared" si="51"/>
        <v>0</v>
      </c>
      <c r="L78" s="1092">
        <f t="shared" si="51"/>
        <v>0</v>
      </c>
      <c r="M78" s="1093">
        <f t="shared" si="51"/>
        <v>0</v>
      </c>
      <c r="N78" s="1095">
        <f t="shared" si="51"/>
        <v>0</v>
      </c>
      <c r="O78" s="1096">
        <f t="shared" si="51"/>
        <v>0</v>
      </c>
      <c r="P78" s="1090">
        <f t="shared" si="51"/>
        <v>0</v>
      </c>
    </row>
    <row r="79" spans="2:16" s="1" customFormat="1" ht="75" customHeight="1" thickBot="1" x14ac:dyDescent="0.3">
      <c r="B79" s="1014" t="s">
        <v>63</v>
      </c>
      <c r="C79" s="33" t="s">
        <v>618</v>
      </c>
      <c r="D79" s="1097" t="s">
        <v>255</v>
      </c>
      <c r="E79" s="1017" t="s">
        <v>256</v>
      </c>
      <c r="F79" s="1017" t="s">
        <v>257</v>
      </c>
      <c r="G79" s="1098" t="s">
        <v>258</v>
      </c>
      <c r="H79" s="1099" t="s">
        <v>259</v>
      </c>
      <c r="I79" s="1100" t="s">
        <v>260</v>
      </c>
      <c r="J79" s="33" t="s">
        <v>261</v>
      </c>
      <c r="K79" s="1098" t="s">
        <v>262</v>
      </c>
      <c r="L79" s="1099" t="s">
        <v>263</v>
      </c>
      <c r="M79" s="1100" t="s">
        <v>264</v>
      </c>
      <c r="N79" s="1022" t="s">
        <v>619</v>
      </c>
      <c r="O79" s="1023" t="s">
        <v>458</v>
      </c>
      <c r="P79" s="1024" t="s">
        <v>459</v>
      </c>
    </row>
    <row r="80" spans="2:16" s="1" customFormat="1" x14ac:dyDescent="0.25">
      <c r="B80" s="353" t="s">
        <v>65</v>
      </c>
      <c r="C80" s="1101" t="s">
        <v>620</v>
      </c>
      <c r="D80" s="620">
        <f t="shared" ref="D80:D95" si="52">E80+F80+J80+N80+O80+P80</f>
        <v>0</v>
      </c>
      <c r="E80" s="1102"/>
      <c r="F80" s="622">
        <f t="shared" ref="F80:F95" si="53">SUM(G80:I80)</f>
        <v>0</v>
      </c>
      <c r="G80" s="623"/>
      <c r="H80" s="624"/>
      <c r="I80" s="625"/>
      <c r="J80" s="622">
        <f t="shared" ref="J80:J95" si="54">SUM(K80:M80)</f>
        <v>0</v>
      </c>
      <c r="K80" s="623"/>
      <c r="L80" s="624"/>
      <c r="M80" s="625"/>
      <c r="N80" s="626"/>
      <c r="O80" s="1103"/>
      <c r="P80" s="628"/>
    </row>
    <row r="81" spans="2:17" s="1" customFormat="1" x14ac:dyDescent="0.25">
      <c r="B81" s="369" t="s">
        <v>69</v>
      </c>
      <c r="C81" s="1104" t="s">
        <v>621</v>
      </c>
      <c r="D81" s="631">
        <f t="shared" si="52"/>
        <v>0</v>
      </c>
      <c r="E81" s="1105"/>
      <c r="F81" s="633">
        <f t="shared" si="53"/>
        <v>0</v>
      </c>
      <c r="G81" s="634"/>
      <c r="H81" s="635"/>
      <c r="I81" s="636"/>
      <c r="J81" s="633">
        <f t="shared" si="54"/>
        <v>0</v>
      </c>
      <c r="K81" s="634"/>
      <c r="L81" s="635"/>
      <c r="M81" s="636"/>
      <c r="N81" s="637"/>
      <c r="O81" s="1106"/>
      <c r="P81" s="639"/>
    </row>
    <row r="82" spans="2:17" s="1" customFormat="1" x14ac:dyDescent="0.25">
      <c r="B82" s="369" t="s">
        <v>71</v>
      </c>
      <c r="C82" s="1104" t="s">
        <v>622</v>
      </c>
      <c r="D82" s="631">
        <f t="shared" si="52"/>
        <v>0</v>
      </c>
      <c r="E82" s="1105"/>
      <c r="F82" s="633">
        <f t="shared" si="53"/>
        <v>0</v>
      </c>
      <c r="G82" s="634"/>
      <c r="H82" s="635"/>
      <c r="I82" s="636"/>
      <c r="J82" s="633">
        <f t="shared" si="54"/>
        <v>0</v>
      </c>
      <c r="K82" s="634"/>
      <c r="L82" s="635"/>
      <c r="M82" s="636"/>
      <c r="N82" s="637"/>
      <c r="O82" s="1106"/>
      <c r="P82" s="639"/>
    </row>
    <row r="83" spans="2:17" s="1" customFormat="1" x14ac:dyDescent="0.25">
      <c r="B83" s="371" t="s">
        <v>73</v>
      </c>
      <c r="C83" s="1104" t="s">
        <v>623</v>
      </c>
      <c r="D83" s="631">
        <f t="shared" si="52"/>
        <v>100</v>
      </c>
      <c r="E83" s="1105"/>
      <c r="F83" s="633">
        <f t="shared" si="53"/>
        <v>100</v>
      </c>
      <c r="G83" s="634">
        <v>18.55</v>
      </c>
      <c r="H83" s="635">
        <v>64.48</v>
      </c>
      <c r="I83" s="636">
        <v>16.97</v>
      </c>
      <c r="J83" s="633">
        <f t="shared" si="54"/>
        <v>0</v>
      </c>
      <c r="K83" s="634"/>
      <c r="L83" s="635"/>
      <c r="M83" s="636"/>
      <c r="N83" s="637"/>
      <c r="O83" s="1106"/>
      <c r="P83" s="639"/>
    </row>
    <row r="84" spans="2:17" s="1" customFormat="1" x14ac:dyDescent="0.25">
      <c r="B84" s="369" t="s">
        <v>75</v>
      </c>
      <c r="C84" s="1104" t="s">
        <v>624</v>
      </c>
      <c r="D84" s="631">
        <f t="shared" si="52"/>
        <v>100</v>
      </c>
      <c r="E84" s="1105"/>
      <c r="F84" s="633">
        <f t="shared" si="53"/>
        <v>100</v>
      </c>
      <c r="G84" s="634">
        <v>18.55</v>
      </c>
      <c r="H84" s="635">
        <v>64.48</v>
      </c>
      <c r="I84" s="636">
        <v>16.97</v>
      </c>
      <c r="J84" s="633">
        <f t="shared" si="54"/>
        <v>0</v>
      </c>
      <c r="K84" s="634"/>
      <c r="L84" s="635"/>
      <c r="M84" s="636"/>
      <c r="N84" s="637"/>
      <c r="O84" s="1106"/>
      <c r="P84" s="639"/>
    </row>
    <row r="85" spans="2:17" s="1" customFormat="1" x14ac:dyDescent="0.25">
      <c r="B85" s="369" t="s">
        <v>466</v>
      </c>
      <c r="C85" s="1104" t="s">
        <v>625</v>
      </c>
      <c r="D85" s="631">
        <f t="shared" si="52"/>
        <v>0</v>
      </c>
      <c r="E85" s="1105"/>
      <c r="F85" s="633">
        <f t="shared" si="53"/>
        <v>0</v>
      </c>
      <c r="G85" s="634"/>
      <c r="H85" s="635"/>
      <c r="I85" s="636"/>
      <c r="J85" s="633">
        <f t="shared" si="54"/>
        <v>0</v>
      </c>
      <c r="K85" s="634"/>
      <c r="L85" s="635"/>
      <c r="M85" s="636"/>
      <c r="N85" s="637"/>
      <c r="O85" s="1106"/>
      <c r="P85" s="639"/>
    </row>
    <row r="86" spans="2:17" s="1" customFormat="1" x14ac:dyDescent="0.25">
      <c r="B86" s="369" t="s">
        <v>470</v>
      </c>
      <c r="C86" s="1104" t="s">
        <v>626</v>
      </c>
      <c r="D86" s="631">
        <f t="shared" si="52"/>
        <v>0</v>
      </c>
      <c r="E86" s="1105"/>
      <c r="F86" s="633">
        <f t="shared" si="53"/>
        <v>0</v>
      </c>
      <c r="G86" s="634"/>
      <c r="H86" s="635"/>
      <c r="I86" s="636"/>
      <c r="J86" s="633">
        <f t="shared" si="54"/>
        <v>0</v>
      </c>
      <c r="K86" s="634"/>
      <c r="L86" s="635"/>
      <c r="M86" s="636"/>
      <c r="N86" s="637"/>
      <c r="O86" s="1106"/>
      <c r="P86" s="639"/>
    </row>
    <row r="87" spans="2:17" s="1" customFormat="1" x14ac:dyDescent="0.25">
      <c r="B87" s="371" t="s">
        <v>474</v>
      </c>
      <c r="C87" s="1104" t="s">
        <v>627</v>
      </c>
      <c r="D87" s="631">
        <f t="shared" si="52"/>
        <v>0</v>
      </c>
      <c r="E87" s="1105"/>
      <c r="F87" s="633">
        <f t="shared" si="53"/>
        <v>0</v>
      </c>
      <c r="G87" s="634"/>
      <c r="H87" s="635"/>
      <c r="I87" s="636"/>
      <c r="J87" s="633">
        <f t="shared" si="54"/>
        <v>0</v>
      </c>
      <c r="K87" s="634"/>
      <c r="L87" s="635"/>
      <c r="M87" s="636"/>
      <c r="N87" s="637"/>
      <c r="O87" s="1106"/>
      <c r="P87" s="639"/>
    </row>
    <row r="88" spans="2:17" s="1" customFormat="1" x14ac:dyDescent="0.25">
      <c r="B88" s="371" t="s">
        <v>478</v>
      </c>
      <c r="C88" s="1104" t="s">
        <v>628</v>
      </c>
      <c r="D88" s="631">
        <f t="shared" si="52"/>
        <v>0</v>
      </c>
      <c r="E88" s="1105"/>
      <c r="F88" s="633">
        <f t="shared" si="53"/>
        <v>0</v>
      </c>
      <c r="G88" s="634"/>
      <c r="H88" s="635"/>
      <c r="I88" s="636"/>
      <c r="J88" s="633">
        <f t="shared" si="54"/>
        <v>0</v>
      </c>
      <c r="K88" s="634"/>
      <c r="L88" s="635"/>
      <c r="M88" s="636"/>
      <c r="N88" s="637"/>
      <c r="O88" s="1106"/>
      <c r="P88" s="639"/>
    </row>
    <row r="89" spans="2:17" s="1" customFormat="1" x14ac:dyDescent="0.25">
      <c r="B89" s="371" t="s">
        <v>494</v>
      </c>
      <c r="C89" s="1104" t="s">
        <v>629</v>
      </c>
      <c r="D89" s="631">
        <f t="shared" si="52"/>
        <v>0</v>
      </c>
      <c r="E89" s="1105"/>
      <c r="F89" s="633">
        <f t="shared" si="53"/>
        <v>0</v>
      </c>
      <c r="G89" s="634"/>
      <c r="H89" s="635"/>
      <c r="I89" s="636"/>
      <c r="J89" s="633">
        <f t="shared" si="54"/>
        <v>0</v>
      </c>
      <c r="K89" s="634"/>
      <c r="L89" s="635"/>
      <c r="M89" s="636"/>
      <c r="N89" s="637"/>
      <c r="O89" s="1106"/>
      <c r="P89" s="639"/>
    </row>
    <row r="90" spans="2:17" s="1" customFormat="1" x14ac:dyDescent="0.25">
      <c r="B90" s="371" t="s">
        <v>495</v>
      </c>
      <c r="C90" s="1104" t="s">
        <v>630</v>
      </c>
      <c r="D90" s="631">
        <f t="shared" si="52"/>
        <v>100</v>
      </c>
      <c r="E90" s="1105"/>
      <c r="F90" s="633">
        <f t="shared" si="53"/>
        <v>70.47</v>
      </c>
      <c r="G90" s="634">
        <v>13.07</v>
      </c>
      <c r="H90" s="635">
        <v>45.44</v>
      </c>
      <c r="I90" s="636">
        <v>11.96</v>
      </c>
      <c r="J90" s="633">
        <f t="shared" si="54"/>
        <v>29.529999999999998</v>
      </c>
      <c r="K90" s="634">
        <v>21.19</v>
      </c>
      <c r="L90" s="635">
        <v>6.85</v>
      </c>
      <c r="M90" s="636">
        <v>1.49</v>
      </c>
      <c r="N90" s="637"/>
      <c r="O90" s="1106"/>
      <c r="P90" s="639"/>
    </row>
    <row r="91" spans="2:17" s="1" customFormat="1" x14ac:dyDescent="0.25">
      <c r="B91" s="371" t="s">
        <v>631</v>
      </c>
      <c r="C91" s="1104" t="s">
        <v>632</v>
      </c>
      <c r="D91" s="631">
        <f t="shared" si="52"/>
        <v>0</v>
      </c>
      <c r="E91" s="1105"/>
      <c r="F91" s="633">
        <f t="shared" si="53"/>
        <v>0</v>
      </c>
      <c r="G91" s="634"/>
      <c r="H91" s="635"/>
      <c r="I91" s="636"/>
      <c r="J91" s="633">
        <f t="shared" si="54"/>
        <v>0</v>
      </c>
      <c r="K91" s="634"/>
      <c r="L91" s="635"/>
      <c r="M91" s="636"/>
      <c r="N91" s="637"/>
      <c r="O91" s="1106"/>
      <c r="P91" s="639"/>
    </row>
    <row r="92" spans="2:17" s="1" customFormat="1" x14ac:dyDescent="0.25">
      <c r="B92" s="371" t="s">
        <v>633</v>
      </c>
      <c r="C92" s="1104" t="s">
        <v>634</v>
      </c>
      <c r="D92" s="631">
        <f t="shared" si="52"/>
        <v>100</v>
      </c>
      <c r="E92" s="1105"/>
      <c r="F92" s="633">
        <f t="shared" si="53"/>
        <v>70.47</v>
      </c>
      <c r="G92" s="634">
        <v>13.07</v>
      </c>
      <c r="H92" s="635">
        <v>45.44</v>
      </c>
      <c r="I92" s="636">
        <v>11.96</v>
      </c>
      <c r="J92" s="633">
        <f t="shared" si="54"/>
        <v>29.529999999999998</v>
      </c>
      <c r="K92" s="634">
        <v>21.19</v>
      </c>
      <c r="L92" s="635">
        <v>6.85</v>
      </c>
      <c r="M92" s="636">
        <v>1.49</v>
      </c>
      <c r="N92" s="637"/>
      <c r="O92" s="1106"/>
      <c r="P92" s="639"/>
    </row>
    <row r="93" spans="2:17" s="1" customFormat="1" x14ac:dyDescent="0.25">
      <c r="B93" s="369" t="s">
        <v>635</v>
      </c>
      <c r="C93" s="1104" t="s">
        <v>636</v>
      </c>
      <c r="D93" s="631">
        <f t="shared" si="52"/>
        <v>0</v>
      </c>
      <c r="E93" s="1105"/>
      <c r="F93" s="633">
        <f t="shared" si="53"/>
        <v>0</v>
      </c>
      <c r="G93" s="634"/>
      <c r="H93" s="635"/>
      <c r="I93" s="636"/>
      <c r="J93" s="633">
        <f t="shared" si="54"/>
        <v>0</v>
      </c>
      <c r="K93" s="634"/>
      <c r="L93" s="635"/>
      <c r="M93" s="636"/>
      <c r="N93" s="637"/>
      <c r="O93" s="1106"/>
      <c r="P93" s="639"/>
    </row>
    <row r="94" spans="2:17" s="1" customFormat="1" x14ac:dyDescent="0.25">
      <c r="B94" s="371" t="s">
        <v>637</v>
      </c>
      <c r="C94" s="1107" t="s">
        <v>638</v>
      </c>
      <c r="D94" s="642">
        <f t="shared" si="52"/>
        <v>0</v>
      </c>
      <c r="E94" s="1108"/>
      <c r="F94" s="644">
        <f t="shared" si="53"/>
        <v>0</v>
      </c>
      <c r="G94" s="645"/>
      <c r="H94" s="646"/>
      <c r="I94" s="647"/>
      <c r="J94" s="644">
        <f t="shared" si="54"/>
        <v>0</v>
      </c>
      <c r="K94" s="645"/>
      <c r="L94" s="646"/>
      <c r="M94" s="647"/>
      <c r="N94" s="648"/>
      <c r="O94" s="1109"/>
      <c r="P94" s="650"/>
    </row>
    <row r="95" spans="2:17" s="1" customFormat="1" ht="15.75" thickBot="1" x14ac:dyDescent="0.3">
      <c r="B95" s="1110" t="s">
        <v>639</v>
      </c>
      <c r="C95" s="1111" t="s">
        <v>640</v>
      </c>
      <c r="D95" s="653">
        <f t="shared" si="52"/>
        <v>0</v>
      </c>
      <c r="E95" s="1112"/>
      <c r="F95" s="1113">
        <f t="shared" si="53"/>
        <v>0</v>
      </c>
      <c r="G95" s="656"/>
      <c r="H95" s="657"/>
      <c r="I95" s="658"/>
      <c r="J95" s="655">
        <f t="shared" si="54"/>
        <v>0</v>
      </c>
      <c r="K95" s="656"/>
      <c r="L95" s="657"/>
      <c r="M95" s="658"/>
      <c r="N95" s="654"/>
      <c r="O95" s="1114"/>
      <c r="P95" s="1112"/>
    </row>
    <row r="96" spans="2:17" s="1" customFormat="1" ht="16.5" thickTop="1" thickBot="1" x14ac:dyDescent="0.3">
      <c r="B96" s="478" t="s">
        <v>77</v>
      </c>
      <c r="C96" s="478" t="s">
        <v>641</v>
      </c>
      <c r="D96" s="1026">
        <f t="shared" ref="D96:P96" si="55">D97+D101+D106+D108+D111+D114</f>
        <v>36.101979999999998</v>
      </c>
      <c r="E96" s="1027">
        <f t="shared" si="55"/>
        <v>0</v>
      </c>
      <c r="F96" s="1027">
        <f t="shared" si="55"/>
        <v>13.697091212</v>
      </c>
      <c r="G96" s="1028">
        <f t="shared" si="55"/>
        <v>1.519893358</v>
      </c>
      <c r="H96" s="1029">
        <f t="shared" si="55"/>
        <v>5.2817196740000005</v>
      </c>
      <c r="I96" s="1030">
        <f t="shared" si="55"/>
        <v>6.8954781800000013</v>
      </c>
      <c r="J96" s="1031">
        <f t="shared" si="55"/>
        <v>22.404888788000001</v>
      </c>
      <c r="K96" s="1028">
        <f t="shared" si="55"/>
        <v>21.693679782</v>
      </c>
      <c r="L96" s="1029">
        <f t="shared" si="55"/>
        <v>0.584852076</v>
      </c>
      <c r="M96" s="1030">
        <f t="shared" si="55"/>
        <v>0.12635692999999998</v>
      </c>
      <c r="N96" s="1032">
        <f t="shared" si="55"/>
        <v>0</v>
      </c>
      <c r="O96" s="1033">
        <f t="shared" si="55"/>
        <v>0</v>
      </c>
      <c r="P96" s="1027">
        <f t="shared" si="55"/>
        <v>0</v>
      </c>
      <c r="Q96" s="591"/>
    </row>
    <row r="97" spans="2:17" s="1" customFormat="1" ht="15.75" thickTop="1" x14ac:dyDescent="0.25">
      <c r="B97" s="488" t="s">
        <v>497</v>
      </c>
      <c r="C97" s="489" t="s">
        <v>8</v>
      </c>
      <c r="D97" s="1034">
        <f>SUM(D98:D100)</f>
        <v>0</v>
      </c>
      <c r="E97" s="1035">
        <f>SUM(E98:E100)</f>
        <v>0</v>
      </c>
      <c r="F97" s="1035">
        <f t="shared" ref="F97:F117" si="56">SUM(G97:I97)</f>
        <v>0</v>
      </c>
      <c r="G97" s="146">
        <f>SUM(G98:G100)</f>
        <v>0</v>
      </c>
      <c r="H97" s="147">
        <f>SUM(H98:H100)</f>
        <v>0</v>
      </c>
      <c r="I97" s="148">
        <f>SUM(I98:I100)</f>
        <v>0</v>
      </c>
      <c r="J97" s="145">
        <f t="shared" ref="J97:J117" si="57">SUM(K97:M97)</f>
        <v>0</v>
      </c>
      <c r="K97" s="146">
        <f t="shared" ref="K97:P97" si="58">SUM(K98:K100)</f>
        <v>0</v>
      </c>
      <c r="L97" s="147">
        <f t="shared" si="58"/>
        <v>0</v>
      </c>
      <c r="M97" s="148">
        <f t="shared" si="58"/>
        <v>0</v>
      </c>
      <c r="N97" s="1036">
        <f t="shared" si="58"/>
        <v>0</v>
      </c>
      <c r="O97" s="144">
        <f t="shared" si="58"/>
        <v>0</v>
      </c>
      <c r="P97" s="1035">
        <f t="shared" si="58"/>
        <v>0</v>
      </c>
      <c r="Q97" s="591"/>
    </row>
    <row r="98" spans="2:17" s="1" customFormat="1" x14ac:dyDescent="0.25">
      <c r="B98" s="498" t="s">
        <v>498</v>
      </c>
      <c r="C98" s="499" t="s">
        <v>10</v>
      </c>
      <c r="D98" s="592"/>
      <c r="E98" s="1037">
        <f>IFERROR($D98*E119/100, 0)</f>
        <v>0</v>
      </c>
      <c r="F98" s="1037">
        <f t="shared" si="56"/>
        <v>0</v>
      </c>
      <c r="G98" s="349">
        <f t="shared" ref="G98:I100" si="59">IFERROR($D98*G119/100, 0)</f>
        <v>0</v>
      </c>
      <c r="H98" s="350">
        <f t="shared" si="59"/>
        <v>0</v>
      </c>
      <c r="I98" s="351">
        <f t="shared" si="59"/>
        <v>0</v>
      </c>
      <c r="J98" s="304">
        <f t="shared" si="57"/>
        <v>0</v>
      </c>
      <c r="K98" s="349">
        <f t="shared" ref="K98:P100" si="60">IFERROR($D98*K119/100, 0)</f>
        <v>0</v>
      </c>
      <c r="L98" s="350">
        <f t="shared" si="60"/>
        <v>0</v>
      </c>
      <c r="M98" s="351">
        <f t="shared" si="60"/>
        <v>0</v>
      </c>
      <c r="N98" s="1038">
        <f t="shared" si="60"/>
        <v>0</v>
      </c>
      <c r="O98" s="348">
        <f t="shared" si="60"/>
        <v>0</v>
      </c>
      <c r="P98" s="1037">
        <f t="shared" si="60"/>
        <v>0</v>
      </c>
    </row>
    <row r="99" spans="2:17" s="1" customFormat="1" x14ac:dyDescent="0.25">
      <c r="B99" s="498" t="s">
        <v>642</v>
      </c>
      <c r="C99" s="499" t="s">
        <v>11</v>
      </c>
      <c r="D99" s="592"/>
      <c r="E99" s="1037">
        <f>IFERROR($D99*E120/100, 0)</f>
        <v>0</v>
      </c>
      <c r="F99" s="1037">
        <f t="shared" si="56"/>
        <v>0</v>
      </c>
      <c r="G99" s="349">
        <f t="shared" si="59"/>
        <v>0</v>
      </c>
      <c r="H99" s="350">
        <f t="shared" si="59"/>
        <v>0</v>
      </c>
      <c r="I99" s="351">
        <f t="shared" si="59"/>
        <v>0</v>
      </c>
      <c r="J99" s="304">
        <f t="shared" si="57"/>
        <v>0</v>
      </c>
      <c r="K99" s="349">
        <f t="shared" si="60"/>
        <v>0</v>
      </c>
      <c r="L99" s="350">
        <f t="shared" si="60"/>
        <v>0</v>
      </c>
      <c r="M99" s="351">
        <f t="shared" si="60"/>
        <v>0</v>
      </c>
      <c r="N99" s="1038">
        <f t="shared" si="60"/>
        <v>0</v>
      </c>
      <c r="O99" s="348">
        <f t="shared" si="60"/>
        <v>0</v>
      </c>
      <c r="P99" s="1037">
        <f t="shared" si="60"/>
        <v>0</v>
      </c>
    </row>
    <row r="100" spans="2:17" s="1" customFormat="1" x14ac:dyDescent="0.25">
      <c r="B100" s="498" t="s">
        <v>643</v>
      </c>
      <c r="C100" s="499" t="s">
        <v>13</v>
      </c>
      <c r="D100" s="592"/>
      <c r="E100" s="1037">
        <f>IFERROR($D100*E121/100, 0)</f>
        <v>0</v>
      </c>
      <c r="F100" s="1037">
        <f t="shared" si="56"/>
        <v>0</v>
      </c>
      <c r="G100" s="349">
        <f t="shared" si="59"/>
        <v>0</v>
      </c>
      <c r="H100" s="350">
        <f t="shared" si="59"/>
        <v>0</v>
      </c>
      <c r="I100" s="351">
        <f t="shared" si="59"/>
        <v>0</v>
      </c>
      <c r="J100" s="304">
        <f t="shared" si="57"/>
        <v>0</v>
      </c>
      <c r="K100" s="349">
        <f t="shared" si="60"/>
        <v>0</v>
      </c>
      <c r="L100" s="350">
        <f t="shared" si="60"/>
        <v>0</v>
      </c>
      <c r="M100" s="351">
        <f t="shared" si="60"/>
        <v>0</v>
      </c>
      <c r="N100" s="1038">
        <f t="shared" si="60"/>
        <v>0</v>
      </c>
      <c r="O100" s="348">
        <f t="shared" si="60"/>
        <v>0</v>
      </c>
      <c r="P100" s="1037">
        <f t="shared" si="60"/>
        <v>0</v>
      </c>
    </row>
    <row r="101" spans="2:17" s="1" customFormat="1" x14ac:dyDescent="0.25">
      <c r="B101" s="488" t="s">
        <v>171</v>
      </c>
      <c r="C101" s="509" t="s">
        <v>15</v>
      </c>
      <c r="D101" s="1034">
        <f>SUM(D102:D105)</f>
        <v>33.266959999999997</v>
      </c>
      <c r="E101" s="1035">
        <f>SUM(E102:E105)</f>
        <v>0</v>
      </c>
      <c r="F101" s="1035">
        <f t="shared" si="56"/>
        <v>12.621484624000001</v>
      </c>
      <c r="G101" s="146">
        <f>SUM(G102:G105)</f>
        <v>1.400539016</v>
      </c>
      <c r="H101" s="147">
        <f>SUM(H102:H105)</f>
        <v>4.8669562480000002</v>
      </c>
      <c r="I101" s="148">
        <f>SUM(I102:I105)</f>
        <v>6.3539893600000008</v>
      </c>
      <c r="J101" s="145">
        <f t="shared" si="57"/>
        <v>20.645475376</v>
      </c>
      <c r="K101" s="146">
        <f t="shared" ref="K101:P101" si="61">SUM(K102:K105)</f>
        <v>19.990116264000001</v>
      </c>
      <c r="L101" s="147">
        <f t="shared" si="61"/>
        <v>0.53892475200000001</v>
      </c>
      <c r="M101" s="148">
        <f t="shared" si="61"/>
        <v>0.11643435999999999</v>
      </c>
      <c r="N101" s="1036">
        <f t="shared" si="61"/>
        <v>0</v>
      </c>
      <c r="O101" s="144">
        <f t="shared" si="61"/>
        <v>0</v>
      </c>
      <c r="P101" s="1035">
        <f t="shared" si="61"/>
        <v>0</v>
      </c>
      <c r="Q101" s="591"/>
    </row>
    <row r="102" spans="2:17" s="1" customFormat="1" x14ac:dyDescent="0.25">
      <c r="B102" s="498" t="s">
        <v>500</v>
      </c>
      <c r="C102" s="499" t="s">
        <v>17</v>
      </c>
      <c r="D102" s="592">
        <v>3.3778000000000001</v>
      </c>
      <c r="E102" s="1037">
        <f>IFERROR($D102*E122/100, 0)</f>
        <v>0</v>
      </c>
      <c r="F102" s="1037">
        <f t="shared" si="56"/>
        <v>1.2815373200000002</v>
      </c>
      <c r="G102" s="349">
        <f t="shared" ref="G102:I105" si="62">IFERROR($D102*G122/100, 0)</f>
        <v>0.14220538000000002</v>
      </c>
      <c r="H102" s="350">
        <f t="shared" si="62"/>
        <v>0.49417214000000004</v>
      </c>
      <c r="I102" s="351">
        <f t="shared" si="62"/>
        <v>0.64515980000000017</v>
      </c>
      <c r="J102" s="304">
        <f t="shared" si="57"/>
        <v>2.0962626800000006</v>
      </c>
      <c r="K102" s="349">
        <f t="shared" ref="K102:P105" si="63">IFERROR($D102*K122/100, 0)</f>
        <v>2.0297200200000005</v>
      </c>
      <c r="L102" s="350">
        <f t="shared" si="63"/>
        <v>5.472036000000001E-2</v>
      </c>
      <c r="M102" s="351">
        <f t="shared" si="63"/>
        <v>1.1822299999999999E-2</v>
      </c>
      <c r="N102" s="1038">
        <f t="shared" si="63"/>
        <v>0</v>
      </c>
      <c r="O102" s="348">
        <f t="shared" si="63"/>
        <v>0</v>
      </c>
      <c r="P102" s="1037">
        <f t="shared" si="63"/>
        <v>0</v>
      </c>
    </row>
    <row r="103" spans="2:17" s="1" customFormat="1" x14ac:dyDescent="0.25">
      <c r="B103" s="498" t="s">
        <v>502</v>
      </c>
      <c r="C103" s="499" t="s">
        <v>597</v>
      </c>
      <c r="D103" s="592">
        <v>29.88916</v>
      </c>
      <c r="E103" s="1037">
        <f>IFERROR($D103*E123/100, 0)</f>
        <v>0</v>
      </c>
      <c r="F103" s="1037">
        <f t="shared" si="56"/>
        <v>11.339947304000001</v>
      </c>
      <c r="G103" s="349">
        <f t="shared" si="62"/>
        <v>1.2583336359999999</v>
      </c>
      <c r="H103" s="350">
        <f t="shared" si="62"/>
        <v>4.3727841080000003</v>
      </c>
      <c r="I103" s="351">
        <f t="shared" si="62"/>
        <v>5.7088295600000007</v>
      </c>
      <c r="J103" s="304">
        <f t="shared" si="57"/>
        <v>18.549212696000001</v>
      </c>
      <c r="K103" s="349">
        <f t="shared" si="63"/>
        <v>17.960396244000002</v>
      </c>
      <c r="L103" s="350">
        <f t="shared" si="63"/>
        <v>0.48420439200000004</v>
      </c>
      <c r="M103" s="351">
        <f t="shared" si="63"/>
        <v>0.10461205999999999</v>
      </c>
      <c r="N103" s="1038">
        <f t="shared" si="63"/>
        <v>0</v>
      </c>
      <c r="O103" s="348">
        <f t="shared" si="63"/>
        <v>0</v>
      </c>
      <c r="P103" s="1037">
        <f t="shared" si="63"/>
        <v>0</v>
      </c>
    </row>
    <row r="104" spans="2:17" s="1" customFormat="1" x14ac:dyDescent="0.25">
      <c r="B104" s="498" t="s">
        <v>644</v>
      </c>
      <c r="C104" s="499" t="s">
        <v>23</v>
      </c>
      <c r="D104" s="592"/>
      <c r="E104" s="1037">
        <f>IFERROR($D104*E124/100, 0)</f>
        <v>0</v>
      </c>
      <c r="F104" s="1037">
        <f t="shared" si="56"/>
        <v>0</v>
      </c>
      <c r="G104" s="349">
        <f t="shared" si="62"/>
        <v>0</v>
      </c>
      <c r="H104" s="350">
        <f t="shared" si="62"/>
        <v>0</v>
      </c>
      <c r="I104" s="351">
        <f t="shared" si="62"/>
        <v>0</v>
      </c>
      <c r="J104" s="304">
        <f t="shared" si="57"/>
        <v>0</v>
      </c>
      <c r="K104" s="349">
        <f t="shared" si="63"/>
        <v>0</v>
      </c>
      <c r="L104" s="350">
        <f t="shared" si="63"/>
        <v>0</v>
      </c>
      <c r="M104" s="351">
        <f t="shared" si="63"/>
        <v>0</v>
      </c>
      <c r="N104" s="1038">
        <f t="shared" si="63"/>
        <v>0</v>
      </c>
      <c r="O104" s="348">
        <f t="shared" si="63"/>
        <v>0</v>
      </c>
      <c r="P104" s="1037">
        <f t="shared" si="63"/>
        <v>0</v>
      </c>
    </row>
    <row r="105" spans="2:17" s="1" customFormat="1" x14ac:dyDescent="0.25">
      <c r="B105" s="498" t="s">
        <v>645</v>
      </c>
      <c r="C105" s="499" t="s">
        <v>646</v>
      </c>
      <c r="D105" s="592"/>
      <c r="E105" s="1037">
        <f>IFERROR($D105*E125/100, 0)</f>
        <v>0</v>
      </c>
      <c r="F105" s="1037">
        <f t="shared" si="56"/>
        <v>0</v>
      </c>
      <c r="G105" s="349">
        <f t="shared" si="62"/>
        <v>0</v>
      </c>
      <c r="H105" s="350">
        <f t="shared" si="62"/>
        <v>0</v>
      </c>
      <c r="I105" s="351">
        <f t="shared" si="62"/>
        <v>0</v>
      </c>
      <c r="J105" s="304">
        <f t="shared" si="57"/>
        <v>0</v>
      </c>
      <c r="K105" s="349">
        <f t="shared" si="63"/>
        <v>0</v>
      </c>
      <c r="L105" s="350">
        <f t="shared" si="63"/>
        <v>0</v>
      </c>
      <c r="M105" s="351">
        <f t="shared" si="63"/>
        <v>0</v>
      </c>
      <c r="N105" s="1038">
        <f t="shared" si="63"/>
        <v>0</v>
      </c>
      <c r="O105" s="348">
        <f t="shared" si="63"/>
        <v>0</v>
      </c>
      <c r="P105" s="1037">
        <f t="shared" si="63"/>
        <v>0</v>
      </c>
    </row>
    <row r="106" spans="2:17" s="1" customFormat="1" x14ac:dyDescent="0.25">
      <c r="B106" s="488" t="s">
        <v>173</v>
      </c>
      <c r="C106" s="513" t="s">
        <v>27</v>
      </c>
      <c r="D106" s="1034">
        <f>D107</f>
        <v>0</v>
      </c>
      <c r="E106" s="1035">
        <f>E107</f>
        <v>0</v>
      </c>
      <c r="F106" s="1035">
        <f t="shared" si="56"/>
        <v>0</v>
      </c>
      <c r="G106" s="146">
        <f>G107</f>
        <v>0</v>
      </c>
      <c r="H106" s="147">
        <f>H107</f>
        <v>0</v>
      </c>
      <c r="I106" s="148">
        <f>I107</f>
        <v>0</v>
      </c>
      <c r="J106" s="145">
        <f t="shared" si="57"/>
        <v>0</v>
      </c>
      <c r="K106" s="146">
        <f t="shared" ref="K106:P106" si="64">K107</f>
        <v>0</v>
      </c>
      <c r="L106" s="147">
        <f t="shared" si="64"/>
        <v>0</v>
      </c>
      <c r="M106" s="148">
        <f t="shared" si="64"/>
        <v>0</v>
      </c>
      <c r="N106" s="1036">
        <f t="shared" si="64"/>
        <v>0</v>
      </c>
      <c r="O106" s="144">
        <f t="shared" si="64"/>
        <v>0</v>
      </c>
      <c r="P106" s="1035">
        <f t="shared" si="64"/>
        <v>0</v>
      </c>
      <c r="Q106" s="591"/>
    </row>
    <row r="107" spans="2:17" s="1" customFormat="1" x14ac:dyDescent="0.25">
      <c r="B107" s="498" t="s">
        <v>503</v>
      </c>
      <c r="C107" s="514" t="s">
        <v>647</v>
      </c>
      <c r="D107" s="592"/>
      <c r="E107" s="1037">
        <f>IFERROR($D107*E126/100, 0)</f>
        <v>0</v>
      </c>
      <c r="F107" s="1037">
        <f t="shared" si="56"/>
        <v>0</v>
      </c>
      <c r="G107" s="349">
        <f>IFERROR($D107*G126/100, 0)</f>
        <v>0</v>
      </c>
      <c r="H107" s="350">
        <f>IFERROR($D107*H126/100, 0)</f>
        <v>0</v>
      </c>
      <c r="I107" s="351">
        <f>IFERROR($D107*I126/100, 0)</f>
        <v>0</v>
      </c>
      <c r="J107" s="304">
        <f t="shared" si="57"/>
        <v>0</v>
      </c>
      <c r="K107" s="349">
        <f t="shared" ref="K107:P107" si="65">IFERROR($D107*K126/100, 0)</f>
        <v>0</v>
      </c>
      <c r="L107" s="350">
        <f t="shared" si="65"/>
        <v>0</v>
      </c>
      <c r="M107" s="351">
        <f t="shared" si="65"/>
        <v>0</v>
      </c>
      <c r="N107" s="1038">
        <f t="shared" si="65"/>
        <v>0</v>
      </c>
      <c r="O107" s="348">
        <f t="shared" si="65"/>
        <v>0</v>
      </c>
      <c r="P107" s="1037">
        <f t="shared" si="65"/>
        <v>0</v>
      </c>
    </row>
    <row r="108" spans="2:17" s="1" customFormat="1" x14ac:dyDescent="0.25">
      <c r="B108" s="488" t="s">
        <v>175</v>
      </c>
      <c r="C108" s="513" t="s">
        <v>33</v>
      </c>
      <c r="D108" s="1034">
        <f>D109+D110</f>
        <v>2.8350200000000001</v>
      </c>
      <c r="E108" s="1035">
        <f>E109+E110</f>
        <v>0</v>
      </c>
      <c r="F108" s="1035">
        <f t="shared" si="56"/>
        <v>1.0756065880000001</v>
      </c>
      <c r="G108" s="146">
        <f>G109+G110</f>
        <v>0.119354342</v>
      </c>
      <c r="H108" s="147">
        <f>H109+H110</f>
        <v>0.41476342600000005</v>
      </c>
      <c r="I108" s="148">
        <f>I109+I110</f>
        <v>0.54148882000000009</v>
      </c>
      <c r="J108" s="145">
        <f t="shared" si="57"/>
        <v>1.7594134120000002</v>
      </c>
      <c r="K108" s="146">
        <f t="shared" ref="K108:P108" si="66">K109+K110</f>
        <v>1.7035635180000002</v>
      </c>
      <c r="L108" s="147">
        <f t="shared" si="66"/>
        <v>4.5927323999999999E-2</v>
      </c>
      <c r="M108" s="148">
        <f t="shared" si="66"/>
        <v>9.9225699999999986E-3</v>
      </c>
      <c r="N108" s="1036">
        <f t="shared" si="66"/>
        <v>0</v>
      </c>
      <c r="O108" s="144">
        <f t="shared" si="66"/>
        <v>0</v>
      </c>
      <c r="P108" s="1035">
        <f t="shared" si="66"/>
        <v>0</v>
      </c>
      <c r="Q108" s="591"/>
    </row>
    <row r="109" spans="2:17" s="1" customFormat="1" x14ac:dyDescent="0.25">
      <c r="B109" s="498" t="s">
        <v>504</v>
      </c>
      <c r="C109" s="514" t="s">
        <v>600</v>
      </c>
      <c r="D109" s="592"/>
      <c r="E109" s="1037">
        <f>IFERROR($D109*E127/100, 0)</f>
        <v>0</v>
      </c>
      <c r="F109" s="1037">
        <f t="shared" si="56"/>
        <v>0</v>
      </c>
      <c r="G109" s="349">
        <f t="shared" ref="G109:I110" si="67">IFERROR($D109*G127/100, 0)</f>
        <v>0</v>
      </c>
      <c r="H109" s="350">
        <f t="shared" si="67"/>
        <v>0</v>
      </c>
      <c r="I109" s="351">
        <f t="shared" si="67"/>
        <v>0</v>
      </c>
      <c r="J109" s="304">
        <f t="shared" si="57"/>
        <v>0</v>
      </c>
      <c r="K109" s="349">
        <f t="shared" ref="K109:P110" si="68">IFERROR($D109*K127/100, 0)</f>
        <v>0</v>
      </c>
      <c r="L109" s="350">
        <f t="shared" si="68"/>
        <v>0</v>
      </c>
      <c r="M109" s="351">
        <f t="shared" si="68"/>
        <v>0</v>
      </c>
      <c r="N109" s="1038">
        <f t="shared" si="68"/>
        <v>0</v>
      </c>
      <c r="O109" s="348">
        <f t="shared" si="68"/>
        <v>0</v>
      </c>
      <c r="P109" s="1037">
        <f t="shared" si="68"/>
        <v>0</v>
      </c>
    </row>
    <row r="110" spans="2:17" s="1" customFormat="1" ht="26.25" x14ac:dyDescent="0.25">
      <c r="B110" s="498" t="s">
        <v>505</v>
      </c>
      <c r="C110" s="570" t="s">
        <v>601</v>
      </c>
      <c r="D110" s="592">
        <v>2.8350200000000001</v>
      </c>
      <c r="E110" s="1037">
        <f>IFERROR($D110*E128/100, 0)</f>
        <v>0</v>
      </c>
      <c r="F110" s="1037">
        <f t="shared" si="56"/>
        <v>1.0756065880000001</v>
      </c>
      <c r="G110" s="349">
        <f t="shared" si="67"/>
        <v>0.119354342</v>
      </c>
      <c r="H110" s="350">
        <f t="shared" si="67"/>
        <v>0.41476342600000005</v>
      </c>
      <c r="I110" s="351">
        <f t="shared" si="67"/>
        <v>0.54148882000000009</v>
      </c>
      <c r="J110" s="304">
        <f t="shared" si="57"/>
        <v>1.7594134120000002</v>
      </c>
      <c r="K110" s="349">
        <f t="shared" si="68"/>
        <v>1.7035635180000002</v>
      </c>
      <c r="L110" s="350">
        <f t="shared" si="68"/>
        <v>4.5927323999999999E-2</v>
      </c>
      <c r="M110" s="351">
        <f t="shared" si="68"/>
        <v>9.9225699999999986E-3</v>
      </c>
      <c r="N110" s="1038">
        <f t="shared" si="68"/>
        <v>0</v>
      </c>
      <c r="O110" s="348">
        <f t="shared" si="68"/>
        <v>0</v>
      </c>
      <c r="P110" s="1037">
        <f t="shared" si="68"/>
        <v>0</v>
      </c>
    </row>
    <row r="111" spans="2:17" s="1" customFormat="1" x14ac:dyDescent="0.25">
      <c r="B111" s="488" t="s">
        <v>177</v>
      </c>
      <c r="C111" s="525" t="s">
        <v>39</v>
      </c>
      <c r="D111" s="1046">
        <f>D112+D113</f>
        <v>0</v>
      </c>
      <c r="E111" s="1047">
        <f>E112+E113</f>
        <v>0</v>
      </c>
      <c r="F111" s="1047">
        <f t="shared" si="56"/>
        <v>0</v>
      </c>
      <c r="G111" s="1048">
        <f>G112+G113</f>
        <v>0</v>
      </c>
      <c r="H111" s="1049">
        <f>H112+H113</f>
        <v>0</v>
      </c>
      <c r="I111" s="1050">
        <f>I112+I113</f>
        <v>0</v>
      </c>
      <c r="J111" s="1051">
        <f t="shared" si="57"/>
        <v>0</v>
      </c>
      <c r="K111" s="1048">
        <f t="shared" ref="K111:P111" si="69">K112+K113</f>
        <v>0</v>
      </c>
      <c r="L111" s="1049">
        <f t="shared" si="69"/>
        <v>0</v>
      </c>
      <c r="M111" s="1050">
        <f t="shared" si="69"/>
        <v>0</v>
      </c>
      <c r="N111" s="1052">
        <f t="shared" si="69"/>
        <v>0</v>
      </c>
      <c r="O111" s="1053">
        <f t="shared" si="69"/>
        <v>0</v>
      </c>
      <c r="P111" s="1047">
        <f t="shared" si="69"/>
        <v>0</v>
      </c>
      <c r="Q111" s="591"/>
    </row>
    <row r="112" spans="2:17" s="1" customFormat="1" x14ac:dyDescent="0.25">
      <c r="B112" s="1054" t="s">
        <v>648</v>
      </c>
      <c r="C112" s="534" t="s">
        <v>41</v>
      </c>
      <c r="D112" s="597"/>
      <c r="E112" s="1037">
        <f>IFERROR($D112*E129/100, 0)</f>
        <v>0</v>
      </c>
      <c r="F112" s="1037">
        <f t="shared" si="56"/>
        <v>0</v>
      </c>
      <c r="G112" s="349">
        <f t="shared" ref="G112:I113" si="70">IFERROR($D112*G129/100, 0)</f>
        <v>0</v>
      </c>
      <c r="H112" s="350">
        <f t="shared" si="70"/>
        <v>0</v>
      </c>
      <c r="I112" s="351">
        <f t="shared" si="70"/>
        <v>0</v>
      </c>
      <c r="J112" s="304">
        <f t="shared" si="57"/>
        <v>0</v>
      </c>
      <c r="K112" s="349">
        <f t="shared" ref="K112:P113" si="71">IFERROR($D112*K129/100, 0)</f>
        <v>0</v>
      </c>
      <c r="L112" s="350">
        <f t="shared" si="71"/>
        <v>0</v>
      </c>
      <c r="M112" s="351">
        <f t="shared" si="71"/>
        <v>0</v>
      </c>
      <c r="N112" s="1038">
        <f t="shared" si="71"/>
        <v>0</v>
      </c>
      <c r="O112" s="348">
        <f t="shared" si="71"/>
        <v>0</v>
      </c>
      <c r="P112" s="1037">
        <f t="shared" si="71"/>
        <v>0</v>
      </c>
    </row>
    <row r="113" spans="2:17" s="1" customFormat="1" x14ac:dyDescent="0.25">
      <c r="B113" s="1054" t="s">
        <v>649</v>
      </c>
      <c r="C113" s="541" t="s">
        <v>650</v>
      </c>
      <c r="D113" s="598"/>
      <c r="E113" s="1037">
        <f>IFERROR($D113*E130/100, 0)</f>
        <v>0</v>
      </c>
      <c r="F113" s="1037">
        <f t="shared" si="56"/>
        <v>0</v>
      </c>
      <c r="G113" s="349">
        <f t="shared" si="70"/>
        <v>0</v>
      </c>
      <c r="H113" s="350">
        <f t="shared" si="70"/>
        <v>0</v>
      </c>
      <c r="I113" s="351">
        <f t="shared" si="70"/>
        <v>0</v>
      </c>
      <c r="J113" s="304">
        <f t="shared" si="57"/>
        <v>0</v>
      </c>
      <c r="K113" s="349">
        <f t="shared" si="71"/>
        <v>0</v>
      </c>
      <c r="L113" s="350">
        <f t="shared" si="71"/>
        <v>0</v>
      </c>
      <c r="M113" s="351">
        <f t="shared" si="71"/>
        <v>0</v>
      </c>
      <c r="N113" s="1038">
        <f t="shared" si="71"/>
        <v>0</v>
      </c>
      <c r="O113" s="348">
        <f t="shared" si="71"/>
        <v>0</v>
      </c>
      <c r="P113" s="1037">
        <f t="shared" si="71"/>
        <v>0</v>
      </c>
    </row>
    <row r="114" spans="2:17" s="1" customFormat="1" x14ac:dyDescent="0.25">
      <c r="B114" s="1065" t="s">
        <v>179</v>
      </c>
      <c r="C114" s="545" t="s">
        <v>602</v>
      </c>
      <c r="D114" s="1046">
        <f>D115+D116+D117</f>
        <v>0</v>
      </c>
      <c r="E114" s="1047">
        <f>E115+E116+E117</f>
        <v>0</v>
      </c>
      <c r="F114" s="1047">
        <f t="shared" si="56"/>
        <v>0</v>
      </c>
      <c r="G114" s="1048">
        <f>G115+G116+G117</f>
        <v>0</v>
      </c>
      <c r="H114" s="1049">
        <f>H115+H116+H117</f>
        <v>0</v>
      </c>
      <c r="I114" s="1050">
        <f>I115+I116+I117</f>
        <v>0</v>
      </c>
      <c r="J114" s="1051">
        <f t="shared" si="57"/>
        <v>0</v>
      </c>
      <c r="K114" s="1048">
        <f t="shared" ref="K114:P114" si="72">K115+K116+K117</f>
        <v>0</v>
      </c>
      <c r="L114" s="1049">
        <f t="shared" si="72"/>
        <v>0</v>
      </c>
      <c r="M114" s="1050">
        <f t="shared" si="72"/>
        <v>0</v>
      </c>
      <c r="N114" s="1052">
        <f t="shared" si="72"/>
        <v>0</v>
      </c>
      <c r="O114" s="1053">
        <f t="shared" si="72"/>
        <v>0</v>
      </c>
      <c r="P114" s="1047">
        <f t="shared" si="72"/>
        <v>0</v>
      </c>
      <c r="Q114" s="591"/>
    </row>
    <row r="115" spans="2:17" s="1" customFormat="1" x14ac:dyDescent="0.25">
      <c r="B115" s="1066" t="s">
        <v>509</v>
      </c>
      <c r="C115" s="1067" t="s">
        <v>603</v>
      </c>
      <c r="D115" s="598"/>
      <c r="E115" s="1037">
        <f>IFERROR($D115*E131/100, 0)</f>
        <v>0</v>
      </c>
      <c r="F115" s="1037">
        <f t="shared" si="56"/>
        <v>0</v>
      </c>
      <c r="G115" s="349">
        <f t="shared" ref="G115:I117" si="73">IFERROR($D115*G131/100, 0)</f>
        <v>0</v>
      </c>
      <c r="H115" s="350">
        <f t="shared" si="73"/>
        <v>0</v>
      </c>
      <c r="I115" s="351">
        <f t="shared" si="73"/>
        <v>0</v>
      </c>
      <c r="J115" s="304">
        <f t="shared" si="57"/>
        <v>0</v>
      </c>
      <c r="K115" s="349">
        <f t="shared" ref="K115:P117" si="74">IFERROR($D115*K131/100, 0)</f>
        <v>0</v>
      </c>
      <c r="L115" s="350">
        <f t="shared" si="74"/>
        <v>0</v>
      </c>
      <c r="M115" s="351">
        <f t="shared" si="74"/>
        <v>0</v>
      </c>
      <c r="N115" s="1038">
        <f t="shared" si="74"/>
        <v>0</v>
      </c>
      <c r="O115" s="348">
        <f t="shared" si="74"/>
        <v>0</v>
      </c>
      <c r="P115" s="1037">
        <f t="shared" si="74"/>
        <v>0</v>
      </c>
    </row>
    <row r="116" spans="2:17" s="1" customFormat="1" x14ac:dyDescent="0.25">
      <c r="B116" s="1054" t="s">
        <v>510</v>
      </c>
      <c r="C116" s="1067" t="s">
        <v>603</v>
      </c>
      <c r="D116" s="598"/>
      <c r="E116" s="1037">
        <f>IFERROR($D116*E132/100, 0)</f>
        <v>0</v>
      </c>
      <c r="F116" s="1037">
        <f t="shared" si="56"/>
        <v>0</v>
      </c>
      <c r="G116" s="349">
        <f t="shared" si="73"/>
        <v>0</v>
      </c>
      <c r="H116" s="350">
        <f t="shared" si="73"/>
        <v>0</v>
      </c>
      <c r="I116" s="351">
        <f t="shared" si="73"/>
        <v>0</v>
      </c>
      <c r="J116" s="304">
        <f t="shared" si="57"/>
        <v>0</v>
      </c>
      <c r="K116" s="349">
        <f t="shared" si="74"/>
        <v>0</v>
      </c>
      <c r="L116" s="350">
        <f t="shared" si="74"/>
        <v>0</v>
      </c>
      <c r="M116" s="351">
        <f t="shared" si="74"/>
        <v>0</v>
      </c>
      <c r="N116" s="1038">
        <f t="shared" si="74"/>
        <v>0</v>
      </c>
      <c r="O116" s="348">
        <f t="shared" si="74"/>
        <v>0</v>
      </c>
      <c r="P116" s="1037">
        <f t="shared" si="74"/>
        <v>0</v>
      </c>
    </row>
    <row r="117" spans="2:17" s="1" customFormat="1" ht="15.75" thickBot="1" x14ac:dyDescent="0.3">
      <c r="B117" s="1089" t="s">
        <v>511</v>
      </c>
      <c r="C117" s="1067" t="s">
        <v>603</v>
      </c>
      <c r="D117" s="592"/>
      <c r="E117" s="1037">
        <f>IFERROR($D117*E133/100, 0)</f>
        <v>0</v>
      </c>
      <c r="F117" s="1037">
        <f t="shared" si="56"/>
        <v>0</v>
      </c>
      <c r="G117" s="349">
        <f t="shared" si="73"/>
        <v>0</v>
      </c>
      <c r="H117" s="350">
        <f t="shared" si="73"/>
        <v>0</v>
      </c>
      <c r="I117" s="351">
        <f t="shared" si="73"/>
        <v>0</v>
      </c>
      <c r="J117" s="304">
        <f t="shared" si="57"/>
        <v>0</v>
      </c>
      <c r="K117" s="349">
        <f t="shared" si="74"/>
        <v>0</v>
      </c>
      <c r="L117" s="350">
        <f t="shared" si="74"/>
        <v>0</v>
      </c>
      <c r="M117" s="351">
        <f t="shared" si="74"/>
        <v>0</v>
      </c>
      <c r="N117" s="1038">
        <f t="shared" si="74"/>
        <v>0</v>
      </c>
      <c r="O117" s="348">
        <f t="shared" si="74"/>
        <v>0</v>
      </c>
      <c r="P117" s="1037">
        <f t="shared" si="74"/>
        <v>0</v>
      </c>
    </row>
    <row r="118" spans="2:17" s="1" customFormat="1" ht="74.25" customHeight="1" thickBot="1" x14ac:dyDescent="0.3">
      <c r="B118" s="1014" t="s">
        <v>79</v>
      </c>
      <c r="C118" s="33" t="s">
        <v>651</v>
      </c>
      <c r="D118" s="1097" t="s">
        <v>255</v>
      </c>
      <c r="E118" s="1017" t="s">
        <v>256</v>
      </c>
      <c r="F118" s="1017" t="s">
        <v>257</v>
      </c>
      <c r="G118" s="1098" t="s">
        <v>258</v>
      </c>
      <c r="H118" s="1099" t="s">
        <v>259</v>
      </c>
      <c r="I118" s="1100" t="s">
        <v>260</v>
      </c>
      <c r="J118" s="33" t="s">
        <v>261</v>
      </c>
      <c r="K118" s="1098" t="s">
        <v>262</v>
      </c>
      <c r="L118" s="1099" t="s">
        <v>263</v>
      </c>
      <c r="M118" s="1100" t="s">
        <v>264</v>
      </c>
      <c r="N118" s="1022" t="s">
        <v>619</v>
      </c>
      <c r="O118" s="1023" t="s">
        <v>458</v>
      </c>
      <c r="P118" s="1024" t="s">
        <v>459</v>
      </c>
    </row>
    <row r="119" spans="2:17" s="1" customFormat="1" x14ac:dyDescent="0.25">
      <c r="B119" s="353" t="s">
        <v>212</v>
      </c>
      <c r="C119" s="1101" t="s">
        <v>652</v>
      </c>
      <c r="D119" s="620">
        <f t="shared" ref="D119:D134" si="75">E119+F119+J119+N119+O119+P119</f>
        <v>0</v>
      </c>
      <c r="E119" s="701"/>
      <c r="F119" s="622">
        <f t="shared" ref="F119:F134" si="76">SUM(G119:I119)</f>
        <v>0</v>
      </c>
      <c r="G119" s="702"/>
      <c r="H119" s="703"/>
      <c r="I119" s="705"/>
      <c r="J119" s="622">
        <f t="shared" ref="J119:J134" si="77">SUM(K119:M119)</f>
        <v>0</v>
      </c>
      <c r="K119" s="702"/>
      <c r="L119" s="703"/>
      <c r="M119" s="705"/>
      <c r="N119" s="706"/>
      <c r="O119" s="1115"/>
      <c r="P119" s="708"/>
      <c r="Q119" s="29"/>
    </row>
    <row r="120" spans="2:17" s="1" customFormat="1" x14ac:dyDescent="0.25">
      <c r="B120" s="369" t="s">
        <v>214</v>
      </c>
      <c r="C120" s="1104" t="s">
        <v>653</v>
      </c>
      <c r="D120" s="631">
        <f t="shared" si="75"/>
        <v>0</v>
      </c>
      <c r="E120" s="701"/>
      <c r="F120" s="633">
        <f t="shared" si="76"/>
        <v>0</v>
      </c>
      <c r="G120" s="709"/>
      <c r="H120" s="710"/>
      <c r="I120" s="712"/>
      <c r="J120" s="633">
        <f t="shared" si="77"/>
        <v>0</v>
      </c>
      <c r="K120" s="709"/>
      <c r="L120" s="710"/>
      <c r="M120" s="712"/>
      <c r="N120" s="713"/>
      <c r="O120" s="1116"/>
      <c r="P120" s="715"/>
    </row>
    <row r="121" spans="2:17" s="1" customFormat="1" x14ac:dyDescent="0.25">
      <c r="B121" s="369" t="s">
        <v>222</v>
      </c>
      <c r="C121" s="1104" t="s">
        <v>654</v>
      </c>
      <c r="D121" s="631">
        <f t="shared" si="75"/>
        <v>0</v>
      </c>
      <c r="E121" s="701"/>
      <c r="F121" s="633">
        <f t="shared" si="76"/>
        <v>0</v>
      </c>
      <c r="G121" s="709"/>
      <c r="H121" s="710"/>
      <c r="I121" s="712"/>
      <c r="J121" s="633">
        <f t="shared" si="77"/>
        <v>0</v>
      </c>
      <c r="K121" s="709"/>
      <c r="L121" s="710"/>
      <c r="M121" s="712"/>
      <c r="N121" s="713"/>
      <c r="O121" s="1116"/>
      <c r="P121" s="715"/>
    </row>
    <row r="122" spans="2:17" s="1" customFormat="1" x14ac:dyDescent="0.25">
      <c r="B122" s="371" t="s">
        <v>224</v>
      </c>
      <c r="C122" s="1104" t="s">
        <v>655</v>
      </c>
      <c r="D122" s="631">
        <f t="shared" si="75"/>
        <v>100</v>
      </c>
      <c r="E122" s="701"/>
      <c r="F122" s="633">
        <f t="shared" si="76"/>
        <v>37.94</v>
      </c>
      <c r="G122" s="709">
        <v>4.21</v>
      </c>
      <c r="H122" s="710">
        <v>14.63</v>
      </c>
      <c r="I122" s="712">
        <v>19.100000000000001</v>
      </c>
      <c r="J122" s="633">
        <f t="shared" si="77"/>
        <v>62.06</v>
      </c>
      <c r="K122" s="709">
        <v>60.09</v>
      </c>
      <c r="L122" s="710">
        <v>1.62</v>
      </c>
      <c r="M122" s="712">
        <v>0.35</v>
      </c>
      <c r="N122" s="713"/>
      <c r="O122" s="1116"/>
      <c r="P122" s="715"/>
    </row>
    <row r="123" spans="2:17" s="1" customFormat="1" x14ac:dyDescent="0.25">
      <c r="B123" s="369" t="s">
        <v>656</v>
      </c>
      <c r="C123" s="1104" t="s">
        <v>657</v>
      </c>
      <c r="D123" s="631">
        <f t="shared" si="75"/>
        <v>100</v>
      </c>
      <c r="E123" s="701"/>
      <c r="F123" s="633">
        <f t="shared" si="76"/>
        <v>37.94</v>
      </c>
      <c r="G123" s="709">
        <v>4.21</v>
      </c>
      <c r="H123" s="710">
        <v>14.63</v>
      </c>
      <c r="I123" s="712">
        <v>19.100000000000001</v>
      </c>
      <c r="J123" s="633">
        <f t="shared" si="77"/>
        <v>62.06</v>
      </c>
      <c r="K123" s="709">
        <v>60.09</v>
      </c>
      <c r="L123" s="710">
        <v>1.62</v>
      </c>
      <c r="M123" s="712">
        <v>0.35</v>
      </c>
      <c r="N123" s="713"/>
      <c r="O123" s="1116"/>
      <c r="P123" s="715"/>
    </row>
    <row r="124" spans="2:17" s="1" customFormat="1" x14ac:dyDescent="0.25">
      <c r="B124" s="369" t="s">
        <v>658</v>
      </c>
      <c r="C124" s="1104" t="s">
        <v>659</v>
      </c>
      <c r="D124" s="631">
        <f t="shared" si="75"/>
        <v>0</v>
      </c>
      <c r="E124" s="701"/>
      <c r="F124" s="633">
        <f t="shared" si="76"/>
        <v>0</v>
      </c>
      <c r="G124" s="709"/>
      <c r="H124" s="710"/>
      <c r="I124" s="712"/>
      <c r="J124" s="633">
        <f t="shared" si="77"/>
        <v>0</v>
      </c>
      <c r="K124" s="709"/>
      <c r="L124" s="710"/>
      <c r="M124" s="712"/>
      <c r="N124" s="713"/>
      <c r="O124" s="1116"/>
      <c r="P124" s="715"/>
    </row>
    <row r="125" spans="2:17" s="1" customFormat="1" x14ac:dyDescent="0.25">
      <c r="B125" s="369" t="s">
        <v>660</v>
      </c>
      <c r="C125" s="1104" t="s">
        <v>661</v>
      </c>
      <c r="D125" s="631">
        <f t="shared" si="75"/>
        <v>0</v>
      </c>
      <c r="E125" s="701"/>
      <c r="F125" s="633">
        <f t="shared" si="76"/>
        <v>0</v>
      </c>
      <c r="G125" s="709"/>
      <c r="H125" s="710"/>
      <c r="I125" s="712"/>
      <c r="J125" s="633">
        <f t="shared" si="77"/>
        <v>0</v>
      </c>
      <c r="K125" s="709"/>
      <c r="L125" s="710"/>
      <c r="M125" s="712"/>
      <c r="N125" s="713"/>
      <c r="O125" s="1116"/>
      <c r="P125" s="715"/>
    </row>
    <row r="126" spans="2:17" s="1" customFormat="1" x14ac:dyDescent="0.25">
      <c r="B126" s="371" t="s">
        <v>662</v>
      </c>
      <c r="C126" s="1104" t="s">
        <v>663</v>
      </c>
      <c r="D126" s="631">
        <f t="shared" si="75"/>
        <v>0</v>
      </c>
      <c r="E126" s="701"/>
      <c r="F126" s="633">
        <f t="shared" si="76"/>
        <v>0</v>
      </c>
      <c r="G126" s="709"/>
      <c r="H126" s="710"/>
      <c r="I126" s="712"/>
      <c r="J126" s="633">
        <f t="shared" si="77"/>
        <v>0</v>
      </c>
      <c r="K126" s="709"/>
      <c r="L126" s="710"/>
      <c r="M126" s="712"/>
      <c r="N126" s="713"/>
      <c r="O126" s="1116"/>
      <c r="P126" s="715"/>
    </row>
    <row r="127" spans="2:17" s="1" customFormat="1" x14ac:dyDescent="0.25">
      <c r="B127" s="371" t="s">
        <v>664</v>
      </c>
      <c r="C127" s="1104" t="s">
        <v>665</v>
      </c>
      <c r="D127" s="631">
        <f t="shared" si="75"/>
        <v>0</v>
      </c>
      <c r="E127" s="701"/>
      <c r="F127" s="633">
        <f t="shared" si="76"/>
        <v>0</v>
      </c>
      <c r="G127" s="709"/>
      <c r="H127" s="710"/>
      <c r="I127" s="712"/>
      <c r="J127" s="633">
        <f t="shared" si="77"/>
        <v>0</v>
      </c>
      <c r="K127" s="709"/>
      <c r="L127" s="710"/>
      <c r="M127" s="712"/>
      <c r="N127" s="713"/>
      <c r="O127" s="1116"/>
      <c r="P127" s="715"/>
    </row>
    <row r="128" spans="2:17" s="1" customFormat="1" x14ac:dyDescent="0.25">
      <c r="B128" s="371" t="s">
        <v>666</v>
      </c>
      <c r="C128" s="1104" t="s">
        <v>667</v>
      </c>
      <c r="D128" s="631">
        <f t="shared" si="75"/>
        <v>100</v>
      </c>
      <c r="E128" s="701"/>
      <c r="F128" s="633">
        <f t="shared" si="76"/>
        <v>37.94</v>
      </c>
      <c r="G128" s="709">
        <v>4.21</v>
      </c>
      <c r="H128" s="710">
        <v>14.63</v>
      </c>
      <c r="I128" s="712">
        <v>19.100000000000001</v>
      </c>
      <c r="J128" s="633">
        <f t="shared" si="77"/>
        <v>62.06</v>
      </c>
      <c r="K128" s="709">
        <v>60.09</v>
      </c>
      <c r="L128" s="710">
        <v>1.62</v>
      </c>
      <c r="M128" s="712">
        <v>0.35</v>
      </c>
      <c r="N128" s="713"/>
      <c r="O128" s="1116"/>
      <c r="P128" s="715"/>
    </row>
    <row r="129" spans="2:16" s="1" customFormat="1" x14ac:dyDescent="0.25">
      <c r="B129" s="371" t="s">
        <v>668</v>
      </c>
      <c r="C129" s="1104" t="s">
        <v>669</v>
      </c>
      <c r="D129" s="631">
        <f t="shared" si="75"/>
        <v>0</v>
      </c>
      <c r="E129" s="701"/>
      <c r="F129" s="633">
        <f t="shared" si="76"/>
        <v>0</v>
      </c>
      <c r="G129" s="709"/>
      <c r="H129" s="710"/>
      <c r="I129" s="712"/>
      <c r="J129" s="633">
        <f t="shared" si="77"/>
        <v>0</v>
      </c>
      <c r="K129" s="709"/>
      <c r="L129" s="710"/>
      <c r="M129" s="712"/>
      <c r="N129" s="713"/>
      <c r="O129" s="1116"/>
      <c r="P129" s="715"/>
    </row>
    <row r="130" spans="2:16" s="1" customFormat="1" x14ac:dyDescent="0.25">
      <c r="B130" s="369" t="s">
        <v>670</v>
      </c>
      <c r="C130" s="1104" t="s">
        <v>671</v>
      </c>
      <c r="D130" s="631">
        <f t="shared" si="75"/>
        <v>0</v>
      </c>
      <c r="E130" s="701"/>
      <c r="F130" s="633">
        <f t="shared" si="76"/>
        <v>0</v>
      </c>
      <c r="G130" s="709"/>
      <c r="H130" s="710"/>
      <c r="I130" s="712"/>
      <c r="J130" s="633">
        <f t="shared" si="77"/>
        <v>0</v>
      </c>
      <c r="K130" s="709"/>
      <c r="L130" s="710"/>
      <c r="M130" s="712"/>
      <c r="N130" s="713"/>
      <c r="O130" s="1116"/>
      <c r="P130" s="715"/>
    </row>
    <row r="131" spans="2:16" s="1" customFormat="1" x14ac:dyDescent="0.25">
      <c r="B131" s="371" t="s">
        <v>672</v>
      </c>
      <c r="C131" s="1104" t="s">
        <v>673</v>
      </c>
      <c r="D131" s="631">
        <f t="shared" si="75"/>
        <v>0</v>
      </c>
      <c r="E131" s="701"/>
      <c r="F131" s="633">
        <f t="shared" si="76"/>
        <v>0</v>
      </c>
      <c r="G131" s="709"/>
      <c r="H131" s="710"/>
      <c r="I131" s="712"/>
      <c r="J131" s="633">
        <f t="shared" si="77"/>
        <v>0</v>
      </c>
      <c r="K131" s="709"/>
      <c r="L131" s="710"/>
      <c r="M131" s="712"/>
      <c r="N131" s="713"/>
      <c r="O131" s="1116"/>
      <c r="P131" s="715"/>
    </row>
    <row r="132" spans="2:16" s="1" customFormat="1" x14ac:dyDescent="0.25">
      <c r="B132" s="371" t="s">
        <v>674</v>
      </c>
      <c r="C132" s="1107" t="s">
        <v>675</v>
      </c>
      <c r="D132" s="642">
        <f t="shared" si="75"/>
        <v>0</v>
      </c>
      <c r="E132" s="716"/>
      <c r="F132" s="644">
        <f t="shared" si="76"/>
        <v>0</v>
      </c>
      <c r="G132" s="717"/>
      <c r="H132" s="718"/>
      <c r="I132" s="720"/>
      <c r="J132" s="644">
        <f t="shared" si="77"/>
        <v>0</v>
      </c>
      <c r="K132" s="717"/>
      <c r="L132" s="718"/>
      <c r="M132" s="720"/>
      <c r="N132" s="721"/>
      <c r="O132" s="1117"/>
      <c r="P132" s="723"/>
    </row>
    <row r="133" spans="2:16" s="1" customFormat="1" ht="15.75" thickBot="1" x14ac:dyDescent="0.3">
      <c r="B133" s="1118" t="s">
        <v>676</v>
      </c>
      <c r="C133" s="1119" t="s">
        <v>677</v>
      </c>
      <c r="D133" s="726">
        <f t="shared" si="75"/>
        <v>0</v>
      </c>
      <c r="E133" s="727"/>
      <c r="F133" s="728">
        <f t="shared" si="76"/>
        <v>0</v>
      </c>
      <c r="G133" s="729"/>
      <c r="H133" s="730"/>
      <c r="I133" s="732"/>
      <c r="J133" s="728">
        <f t="shared" si="77"/>
        <v>0</v>
      </c>
      <c r="K133" s="729"/>
      <c r="L133" s="730"/>
      <c r="M133" s="732"/>
      <c r="N133" s="733"/>
      <c r="O133" s="1120"/>
      <c r="P133" s="735"/>
    </row>
    <row r="134" spans="2:16" s="1" customFormat="1" ht="26.25" thickBot="1" x14ac:dyDescent="0.3">
      <c r="B134" s="1121" t="s">
        <v>81</v>
      </c>
      <c r="C134" s="33" t="s">
        <v>678</v>
      </c>
      <c r="D134" s="738">
        <f t="shared" si="75"/>
        <v>100.00000000000003</v>
      </c>
      <c r="E134" s="739">
        <f>IFERROR(E96/$D$96*100, 0)</f>
        <v>0</v>
      </c>
      <c r="F134" s="740">
        <f t="shared" si="76"/>
        <v>37.940000000000012</v>
      </c>
      <c r="G134" s="741">
        <f>IFERROR(G96/$D$96*100, 0)</f>
        <v>4.2100000000000009</v>
      </c>
      <c r="H134" s="742">
        <f>IFERROR(H96/$D$96*100, 0)</f>
        <v>14.63</v>
      </c>
      <c r="I134" s="744">
        <f>IFERROR(I96/$D$96*100, 0)</f>
        <v>19.100000000000005</v>
      </c>
      <c r="J134" s="740">
        <f t="shared" si="77"/>
        <v>62.060000000000009</v>
      </c>
      <c r="K134" s="741">
        <f t="shared" ref="K134:P134" si="78">IFERROR(K96/$D$96*100, 0)</f>
        <v>60.090000000000011</v>
      </c>
      <c r="L134" s="742">
        <f t="shared" si="78"/>
        <v>1.6200000000000003</v>
      </c>
      <c r="M134" s="744">
        <f t="shared" si="78"/>
        <v>0.35</v>
      </c>
      <c r="N134" s="740">
        <f t="shared" si="78"/>
        <v>0</v>
      </c>
      <c r="O134" s="740">
        <f t="shared" si="78"/>
        <v>0</v>
      </c>
      <c r="P134" s="740">
        <f t="shared" si="78"/>
        <v>0</v>
      </c>
    </row>
  </sheetData>
  <sheetProtection algorithmName="SHA-512" hashValue="xvriuSp0XfF899Q4n+XAjIhXi5vMoSIPOe7m7jBAipNOEJW9irZlIeklm7n0znuL3zzbSRf0M7pbj9RgEyEb4w==" saltValue="nW6+55LS5WhH2eQ/2MBqXCL79BT1FF0ia6fCPCHKARcmRi397tyTUcQJV42LP1hWbS2agGZfrGkK+oEPy0ixXg=="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1"/>
  <sheetViews>
    <sheetView topLeftCell="A109" zoomScaleNormal="100" workbookViewId="0">
      <selection activeCell="G197" sqref="G197"/>
    </sheetView>
  </sheetViews>
  <sheetFormatPr defaultColWidth="9.140625" defaultRowHeight="15" x14ac:dyDescent="0.25"/>
  <cols>
    <col min="1" max="1" width="9.140625" style="422"/>
    <col min="2" max="2" width="8.7109375" style="422" customWidth="1"/>
    <col min="3" max="3" width="78.28515625" style="422" customWidth="1"/>
    <col min="4" max="4" width="16.42578125" style="422" customWidth="1"/>
    <col min="5" max="5" width="21.140625" style="422" customWidth="1"/>
    <col min="6" max="6" width="19" style="1122" customWidth="1"/>
    <col min="7" max="7" width="43" style="1122" customWidth="1"/>
    <col min="8" max="16384" width="9.140625" style="422"/>
  </cols>
  <sheetData>
    <row r="1" spans="1:7" s="1" customFormat="1" x14ac:dyDescent="0.25">
      <c r="A1" s="1445" t="s">
        <v>0</v>
      </c>
      <c r="B1" s="1446"/>
      <c r="C1" s="1446"/>
      <c r="D1" s="1446"/>
      <c r="E1" s="1446"/>
      <c r="F1" s="1447"/>
    </row>
    <row r="2" spans="1:7" s="1" customFormat="1" x14ac:dyDescent="0.25">
      <c r="A2" s="1445" t="s">
        <v>1</v>
      </c>
      <c r="B2" s="1446"/>
      <c r="C2" s="1446"/>
      <c r="D2" s="1446"/>
      <c r="E2" s="1446"/>
      <c r="F2" s="1447"/>
    </row>
    <row r="3" spans="1:7" s="1" customFormat="1" x14ac:dyDescent="0.25">
      <c r="A3" s="1448"/>
      <c r="B3" s="1449"/>
      <c r="C3" s="1449"/>
      <c r="D3" s="1449"/>
      <c r="E3" s="1449"/>
      <c r="F3" s="1450"/>
    </row>
    <row r="4" spans="1:7" s="1" customFormat="1" x14ac:dyDescent="0.25">
      <c r="A4" s="1123"/>
      <c r="B4" s="1123"/>
      <c r="C4" s="1123"/>
      <c r="D4" s="1123"/>
      <c r="E4" s="1123"/>
      <c r="F4" s="1124"/>
    </row>
    <row r="5" spans="1:7" s="1" customFormat="1" x14ac:dyDescent="0.25">
      <c r="A5" s="1451" t="s">
        <v>951</v>
      </c>
      <c r="B5" s="1452"/>
      <c r="C5" s="1452"/>
      <c r="D5" s="1452"/>
      <c r="E5" s="1452"/>
      <c r="F5" s="1453"/>
    </row>
    <row r="6" spans="1:7" s="1" customFormat="1" x14ac:dyDescent="0.25">
      <c r="A6" s="1123"/>
      <c r="B6" s="1123"/>
      <c r="C6" s="1123"/>
      <c r="D6" s="1123"/>
      <c r="E6" s="1123"/>
      <c r="F6" s="1124"/>
    </row>
    <row r="8" spans="1:7" s="1" customFormat="1" ht="15.75" thickBot="1" x14ac:dyDescent="0.3">
      <c r="B8" s="1362" t="s">
        <v>952</v>
      </c>
      <c r="C8" s="1362"/>
      <c r="D8" s="1362"/>
      <c r="E8" s="1362"/>
    </row>
    <row r="9" spans="1:7" s="1" customFormat="1" ht="15.75" thickBot="1" x14ac:dyDescent="0.3">
      <c r="B9" s="1125" t="s">
        <v>4</v>
      </c>
      <c r="C9" s="1126" t="s">
        <v>953</v>
      </c>
      <c r="D9" s="1127" t="s">
        <v>682</v>
      </c>
      <c r="E9" s="1128" t="s">
        <v>49</v>
      </c>
      <c r="G9" s="1129"/>
    </row>
    <row r="10" spans="1:7" s="1" customFormat="1" ht="15.75" thickBot="1" x14ac:dyDescent="0.3">
      <c r="B10" s="1130"/>
      <c r="C10" s="1126" t="s">
        <v>954</v>
      </c>
      <c r="D10" s="1126"/>
      <c r="E10" s="1131"/>
      <c r="F10" s="1132"/>
      <c r="G10" s="1129"/>
    </row>
    <row r="11" spans="1:7" s="1" customFormat="1" x14ac:dyDescent="0.25">
      <c r="B11" s="1133" t="s">
        <v>96</v>
      </c>
      <c r="C11" s="1134" t="s">
        <v>955</v>
      </c>
      <c r="D11" s="1134" t="s">
        <v>956</v>
      </c>
      <c r="E11" s="1135">
        <v>3468</v>
      </c>
      <c r="F11" s="1136"/>
      <c r="G11" s="1129"/>
    </row>
    <row r="12" spans="1:7" s="1" customFormat="1" x14ac:dyDescent="0.25">
      <c r="B12" s="1137" t="s">
        <v>102</v>
      </c>
      <c r="C12" s="1138" t="s">
        <v>957</v>
      </c>
      <c r="D12" s="1139" t="s">
        <v>956</v>
      </c>
      <c r="E12" s="1140">
        <v>961.8</v>
      </c>
      <c r="F12" s="1136"/>
      <c r="G12" s="1129"/>
    </row>
    <row r="13" spans="1:7" s="1" customFormat="1" x14ac:dyDescent="0.25">
      <c r="B13" s="1137" t="s">
        <v>124</v>
      </c>
      <c r="C13" s="1138" t="s">
        <v>958</v>
      </c>
      <c r="D13" s="1138" t="s">
        <v>956</v>
      </c>
      <c r="E13" s="1140">
        <v>6850.4</v>
      </c>
      <c r="F13" s="1136"/>
      <c r="G13" s="1129"/>
    </row>
    <row r="14" spans="1:7" s="1" customFormat="1" x14ac:dyDescent="0.25">
      <c r="B14" s="1137" t="s">
        <v>131</v>
      </c>
      <c r="C14" s="1138" t="s">
        <v>959</v>
      </c>
      <c r="D14" s="1138" t="s">
        <v>956</v>
      </c>
      <c r="E14" s="1140">
        <v>17677.400000000001</v>
      </c>
      <c r="F14" s="1141"/>
      <c r="G14" s="1129"/>
    </row>
    <row r="15" spans="1:7" s="1" customFormat="1" x14ac:dyDescent="0.25">
      <c r="B15" s="1137" t="s">
        <v>274</v>
      </c>
      <c r="C15" s="1138" t="s">
        <v>960</v>
      </c>
      <c r="D15" s="1138" t="s">
        <v>956</v>
      </c>
      <c r="E15" s="1140"/>
      <c r="F15" s="1141"/>
      <c r="G15" s="1129"/>
    </row>
    <row r="16" spans="1:7" s="1" customFormat="1" x14ac:dyDescent="0.25">
      <c r="B16" s="1137" t="s">
        <v>282</v>
      </c>
      <c r="C16" s="1138" t="s">
        <v>961</v>
      </c>
      <c r="D16" s="1138" t="s">
        <v>956</v>
      </c>
      <c r="E16" s="1140">
        <v>1284.8</v>
      </c>
      <c r="F16" s="1141"/>
      <c r="G16" s="1129"/>
    </row>
    <row r="17" spans="2:7" s="1" customFormat="1" x14ac:dyDescent="0.25">
      <c r="B17" s="1142" t="s">
        <v>284</v>
      </c>
      <c r="C17" s="1143" t="s">
        <v>962</v>
      </c>
      <c r="D17" s="1143" t="s">
        <v>963</v>
      </c>
      <c r="E17" s="1144">
        <v>29</v>
      </c>
      <c r="F17" s="1141"/>
      <c r="G17" s="1129"/>
    </row>
    <row r="18" spans="2:7" s="1" customFormat="1" x14ac:dyDescent="0.25">
      <c r="B18" s="1142" t="s">
        <v>604</v>
      </c>
      <c r="C18" s="1143" t="s">
        <v>964</v>
      </c>
      <c r="D18" s="1143" t="s">
        <v>965</v>
      </c>
      <c r="E18" s="1144">
        <v>29</v>
      </c>
      <c r="F18" s="1141"/>
      <c r="G18" s="1129"/>
    </row>
    <row r="19" spans="2:7" s="1" customFormat="1" x14ac:dyDescent="0.25">
      <c r="B19" s="1142" t="s">
        <v>605</v>
      </c>
      <c r="C19" s="1143" t="s">
        <v>966</v>
      </c>
      <c r="D19" s="1143" t="s">
        <v>965</v>
      </c>
      <c r="E19" s="1144"/>
      <c r="F19" s="1141"/>
      <c r="G19" s="1129"/>
    </row>
    <row r="20" spans="2:7" s="1" customFormat="1" x14ac:dyDescent="0.25">
      <c r="B20" s="1142" t="s">
        <v>967</v>
      </c>
      <c r="C20" s="1143" t="s">
        <v>968</v>
      </c>
      <c r="D20" s="1145" t="s">
        <v>965</v>
      </c>
      <c r="E20" s="1144"/>
      <c r="F20" s="1141"/>
      <c r="G20" s="1129"/>
    </row>
    <row r="21" spans="2:7" s="1" customFormat="1" x14ac:dyDescent="0.25">
      <c r="B21" s="1137" t="s">
        <v>286</v>
      </c>
      <c r="C21" s="1138" t="s">
        <v>969</v>
      </c>
      <c r="D21" s="1138" t="s">
        <v>956</v>
      </c>
      <c r="E21" s="1140"/>
      <c r="F21" s="1141"/>
      <c r="G21" s="1129"/>
    </row>
    <row r="22" spans="2:7" s="1" customFormat="1" x14ac:dyDescent="0.25">
      <c r="B22" s="1142" t="s">
        <v>970</v>
      </c>
      <c r="C22" s="1143" t="s">
        <v>962</v>
      </c>
      <c r="D22" s="1143" t="s">
        <v>963</v>
      </c>
      <c r="E22" s="1144"/>
      <c r="F22" s="1141"/>
      <c r="G22" s="1129"/>
    </row>
    <row r="23" spans="2:7" s="1" customFormat="1" x14ac:dyDescent="0.25">
      <c r="B23" s="1142" t="s">
        <v>971</v>
      </c>
      <c r="C23" s="1143" t="s">
        <v>964</v>
      </c>
      <c r="D23" s="1143" t="s">
        <v>965</v>
      </c>
      <c r="E23" s="1144"/>
      <c r="F23" s="1141"/>
      <c r="G23" s="1129"/>
    </row>
    <row r="24" spans="2:7" s="1" customFormat="1" x14ac:dyDescent="0.25">
      <c r="B24" s="1142" t="s">
        <v>972</v>
      </c>
      <c r="C24" s="1143" t="s">
        <v>973</v>
      </c>
      <c r="D24" s="1143" t="s">
        <v>965</v>
      </c>
      <c r="E24" s="1144"/>
      <c r="F24" s="1141"/>
      <c r="G24" s="1129"/>
    </row>
    <row r="25" spans="2:7" s="1" customFormat="1" x14ac:dyDescent="0.25">
      <c r="B25" s="1137" t="s">
        <v>974</v>
      </c>
      <c r="C25" s="1138" t="s">
        <v>975</v>
      </c>
      <c r="D25" s="1138" t="s">
        <v>976</v>
      </c>
      <c r="E25" s="1140">
        <v>2000</v>
      </c>
      <c r="F25" s="1141"/>
      <c r="G25" s="1129"/>
    </row>
    <row r="26" spans="2:7" s="1" customFormat="1" x14ac:dyDescent="0.25">
      <c r="B26" s="1142" t="s">
        <v>977</v>
      </c>
      <c r="C26" s="1143" t="s">
        <v>978</v>
      </c>
      <c r="D26" s="1143" t="s">
        <v>976</v>
      </c>
      <c r="E26" s="1144">
        <v>2500</v>
      </c>
      <c r="F26" s="1141"/>
      <c r="G26" s="1129"/>
    </row>
    <row r="27" spans="2:7" s="1" customFormat="1" x14ac:dyDescent="0.25">
      <c r="B27" s="1142" t="s">
        <v>979</v>
      </c>
      <c r="C27" s="1143" t="s">
        <v>980</v>
      </c>
      <c r="D27" s="1143" t="s">
        <v>976</v>
      </c>
      <c r="E27" s="1144">
        <v>2000</v>
      </c>
      <c r="F27" s="1141"/>
      <c r="G27" s="1129"/>
    </row>
    <row r="28" spans="2:7" s="1" customFormat="1" x14ac:dyDescent="0.25">
      <c r="B28" s="1142" t="s">
        <v>981</v>
      </c>
      <c r="C28" s="1143" t="s">
        <v>982</v>
      </c>
      <c r="D28" s="1143" t="s">
        <v>976</v>
      </c>
      <c r="E28" s="1144"/>
      <c r="F28" s="1141"/>
      <c r="G28" s="1129"/>
    </row>
    <row r="29" spans="2:7" s="1" customFormat="1" x14ac:dyDescent="0.25">
      <c r="B29" s="1142" t="s">
        <v>983</v>
      </c>
      <c r="C29" s="1143" t="s">
        <v>984</v>
      </c>
      <c r="D29" s="1143" t="s">
        <v>976</v>
      </c>
      <c r="E29" s="1144"/>
      <c r="F29" s="1141"/>
      <c r="G29" s="1129"/>
    </row>
    <row r="30" spans="2:7" s="1" customFormat="1" ht="15.75" thickBot="1" x14ac:dyDescent="0.3">
      <c r="B30" s="1146" t="s">
        <v>985</v>
      </c>
      <c r="C30" s="1147" t="s">
        <v>986</v>
      </c>
      <c r="D30" s="1147" t="s">
        <v>976</v>
      </c>
      <c r="E30" s="1148"/>
      <c r="F30" s="1141"/>
      <c r="G30" s="1129"/>
    </row>
    <row r="31" spans="2:7" s="1" customFormat="1" ht="15.75" thickBot="1" x14ac:dyDescent="0.3">
      <c r="B31" s="1130"/>
      <c r="C31" s="1126" t="s">
        <v>987</v>
      </c>
      <c r="D31" s="1126"/>
      <c r="E31" s="1131"/>
      <c r="F31" s="1132"/>
      <c r="G31" s="1149"/>
    </row>
    <row r="32" spans="2:7" s="1" customFormat="1" x14ac:dyDescent="0.25">
      <c r="B32" s="1150" t="s">
        <v>55</v>
      </c>
      <c r="C32" s="1151" t="s">
        <v>988</v>
      </c>
      <c r="D32" s="1152" t="s">
        <v>916</v>
      </c>
      <c r="E32" s="1153">
        <v>3</v>
      </c>
      <c r="F32" s="1154"/>
      <c r="G32" s="1155"/>
    </row>
    <row r="33" spans="2:7" s="1" customFormat="1" x14ac:dyDescent="0.25">
      <c r="B33" s="1142" t="s">
        <v>141</v>
      </c>
      <c r="C33" s="1156" t="s">
        <v>989</v>
      </c>
      <c r="D33" s="1152" t="s">
        <v>916</v>
      </c>
      <c r="E33" s="1153">
        <v>26</v>
      </c>
      <c r="F33" s="1157"/>
      <c r="G33" s="1158"/>
    </row>
    <row r="34" spans="2:7" s="1" customFormat="1" ht="15.75" thickBot="1" x14ac:dyDescent="0.3">
      <c r="B34" s="1159" t="s">
        <v>302</v>
      </c>
      <c r="C34" s="1160" t="s">
        <v>990</v>
      </c>
      <c r="D34" s="1161" t="s">
        <v>991</v>
      </c>
      <c r="E34" s="1162">
        <v>13.3</v>
      </c>
      <c r="F34" s="1157"/>
      <c r="G34" s="1158"/>
    </row>
    <row r="35" spans="2:7" s="1" customFormat="1" ht="15.75" thickBot="1" x14ac:dyDescent="0.3">
      <c r="B35" s="1130"/>
      <c r="C35" s="1126" t="s">
        <v>992</v>
      </c>
      <c r="D35" s="1126"/>
      <c r="E35" s="1131"/>
      <c r="F35" s="1136"/>
      <c r="G35" s="1136"/>
    </row>
    <row r="36" spans="2:7" s="1" customFormat="1" x14ac:dyDescent="0.25">
      <c r="B36" s="1137" t="s">
        <v>150</v>
      </c>
      <c r="C36" s="1163" t="s">
        <v>993</v>
      </c>
      <c r="D36" s="1138" t="s">
        <v>916</v>
      </c>
      <c r="E36" s="1360">
        <v>3</v>
      </c>
      <c r="F36" s="1165"/>
      <c r="G36" s="1166"/>
    </row>
    <row r="37" spans="2:7" s="1" customFormat="1" x14ac:dyDescent="0.25">
      <c r="B37" s="1142" t="s">
        <v>410</v>
      </c>
      <c r="C37" s="1156" t="s">
        <v>994</v>
      </c>
      <c r="D37" s="1143" t="s">
        <v>916</v>
      </c>
      <c r="E37" s="1358">
        <v>3</v>
      </c>
      <c r="F37" s="1157"/>
      <c r="G37" s="1157"/>
    </row>
    <row r="38" spans="2:7" s="1" customFormat="1" x14ac:dyDescent="0.25">
      <c r="B38" s="1167" t="s">
        <v>411</v>
      </c>
      <c r="C38" s="1163" t="s">
        <v>995</v>
      </c>
      <c r="D38" s="1138" t="s">
        <v>742</v>
      </c>
      <c r="E38" s="1356">
        <v>291.60000000000002</v>
      </c>
      <c r="F38" s="1165"/>
      <c r="G38" s="1168"/>
    </row>
    <row r="39" spans="2:7" s="1" customFormat="1" ht="25.5" x14ac:dyDescent="0.25">
      <c r="B39" s="1169" t="s">
        <v>996</v>
      </c>
      <c r="C39" s="1170" t="s">
        <v>997</v>
      </c>
      <c r="D39" s="1143" t="s">
        <v>742</v>
      </c>
      <c r="E39" s="1357"/>
      <c r="F39" s="1444"/>
      <c r="G39" s="1136"/>
    </row>
    <row r="40" spans="2:7" s="1" customFormat="1" x14ac:dyDescent="0.25">
      <c r="B40" s="1169" t="s">
        <v>998</v>
      </c>
      <c r="C40" s="1170" t="s">
        <v>999</v>
      </c>
      <c r="D40" s="1143" t="s">
        <v>742</v>
      </c>
      <c r="E40" s="1357"/>
      <c r="F40" s="1444"/>
      <c r="G40" s="1136"/>
    </row>
    <row r="41" spans="2:7" s="1" customFormat="1" ht="25.5" x14ac:dyDescent="0.25">
      <c r="B41" s="1169" t="s">
        <v>1000</v>
      </c>
      <c r="C41" s="1170" t="s">
        <v>1001</v>
      </c>
      <c r="D41" s="1143" t="s">
        <v>742</v>
      </c>
      <c r="E41" s="1357"/>
      <c r="F41" s="1444"/>
      <c r="G41" s="1136"/>
    </row>
    <row r="42" spans="2:7" s="1" customFormat="1" x14ac:dyDescent="0.25">
      <c r="B42" s="1142" t="s">
        <v>1002</v>
      </c>
      <c r="C42" s="1171" t="s">
        <v>1003</v>
      </c>
      <c r="D42" s="1143" t="s">
        <v>742</v>
      </c>
      <c r="E42" s="1357"/>
      <c r="F42" s="1172"/>
      <c r="G42" s="1136"/>
    </row>
    <row r="43" spans="2:7" s="1" customFormat="1" x14ac:dyDescent="0.25">
      <c r="B43" s="1137" t="s">
        <v>152</v>
      </c>
      <c r="C43" s="1173" t="s">
        <v>1004</v>
      </c>
      <c r="D43" s="1138" t="s">
        <v>742</v>
      </c>
      <c r="E43" s="1356">
        <v>255.4</v>
      </c>
      <c r="F43" s="1136"/>
      <c r="G43" s="1129"/>
    </row>
    <row r="44" spans="2:7" s="1" customFormat="1" x14ac:dyDescent="0.25">
      <c r="B44" s="1137" t="s">
        <v>160</v>
      </c>
      <c r="C44" s="1163" t="s">
        <v>1005</v>
      </c>
      <c r="D44" s="1138" t="s">
        <v>742</v>
      </c>
      <c r="E44" s="1356">
        <v>255.4</v>
      </c>
      <c r="F44" s="1136"/>
      <c r="G44" s="1129"/>
    </row>
    <row r="45" spans="2:7" s="1" customFormat="1" x14ac:dyDescent="0.25">
      <c r="B45" s="1142" t="s">
        <v>412</v>
      </c>
      <c r="C45" s="1156" t="s">
        <v>1006</v>
      </c>
      <c r="D45" s="1143" t="s">
        <v>916</v>
      </c>
      <c r="E45" s="1358">
        <v>3</v>
      </c>
      <c r="F45" s="1136"/>
      <c r="G45" s="1136"/>
    </row>
    <row r="46" spans="2:7" s="1" customFormat="1" x14ac:dyDescent="0.25">
      <c r="B46" s="1142" t="s">
        <v>1007</v>
      </c>
      <c r="C46" s="1156" t="s">
        <v>1008</v>
      </c>
      <c r="D46" s="1143" t="s">
        <v>916</v>
      </c>
      <c r="E46" s="1358">
        <v>3</v>
      </c>
      <c r="F46" s="1157"/>
      <c r="G46" s="1157"/>
    </row>
    <row r="47" spans="2:7" s="1" customFormat="1" x14ac:dyDescent="0.25">
      <c r="B47" s="1142" t="s">
        <v>1009</v>
      </c>
      <c r="C47" s="1174" t="s">
        <v>1010</v>
      </c>
      <c r="D47" s="1175" t="s">
        <v>742</v>
      </c>
      <c r="E47" s="1361">
        <v>255.4</v>
      </c>
      <c r="F47" s="1177"/>
      <c r="G47" s="1177"/>
    </row>
    <row r="48" spans="2:7" s="1" customFormat="1" x14ac:dyDescent="0.25">
      <c r="B48" s="1142" t="s">
        <v>615</v>
      </c>
      <c r="C48" s="1156" t="s">
        <v>1011</v>
      </c>
      <c r="D48" s="1143" t="s">
        <v>916</v>
      </c>
      <c r="E48" s="1358"/>
      <c r="F48" s="1157"/>
      <c r="G48" s="1157"/>
    </row>
    <row r="49" spans="2:7" s="1" customFormat="1" x14ac:dyDescent="0.25">
      <c r="B49" s="1142" t="s">
        <v>1012</v>
      </c>
      <c r="C49" s="1174" t="s">
        <v>1013</v>
      </c>
      <c r="D49" s="1175" t="s">
        <v>742</v>
      </c>
      <c r="E49" s="1361"/>
      <c r="F49" s="1177"/>
      <c r="G49" s="1177"/>
    </row>
    <row r="50" spans="2:7" s="1" customFormat="1" x14ac:dyDescent="0.25">
      <c r="B50" s="1137" t="s">
        <v>162</v>
      </c>
      <c r="C50" s="1163" t="s">
        <v>1014</v>
      </c>
      <c r="D50" s="1138" t="s">
        <v>916</v>
      </c>
      <c r="E50" s="1360"/>
      <c r="F50" s="1157"/>
      <c r="G50" s="1157"/>
    </row>
    <row r="51" spans="2:7" s="1" customFormat="1" x14ac:dyDescent="0.25">
      <c r="B51" s="1137" t="s">
        <v>418</v>
      </c>
      <c r="C51" s="1163" t="s">
        <v>1015</v>
      </c>
      <c r="D51" s="1138" t="s">
        <v>916</v>
      </c>
      <c r="E51" s="1360">
        <v>4</v>
      </c>
      <c r="F51" s="1157"/>
      <c r="G51" s="1157"/>
    </row>
    <row r="52" spans="2:7" s="1" customFormat="1" x14ac:dyDescent="0.25">
      <c r="B52" s="1137" t="s">
        <v>419</v>
      </c>
      <c r="C52" s="1163" t="s">
        <v>1016</v>
      </c>
      <c r="D52" s="1138" t="s">
        <v>916</v>
      </c>
      <c r="E52" s="1360">
        <v>22</v>
      </c>
      <c r="F52" s="1177"/>
      <c r="G52" s="1177"/>
    </row>
    <row r="53" spans="2:7" s="1" customFormat="1" x14ac:dyDescent="0.25">
      <c r="B53" s="1137" t="s">
        <v>424</v>
      </c>
      <c r="C53" s="1163" t="s">
        <v>1017</v>
      </c>
      <c r="D53" s="1138" t="s">
        <v>916</v>
      </c>
      <c r="E53" s="1360">
        <v>32</v>
      </c>
      <c r="F53" s="1177"/>
      <c r="G53" s="1177"/>
    </row>
    <row r="54" spans="2:7" s="1" customFormat="1" x14ac:dyDescent="0.25">
      <c r="B54" s="1137" t="s">
        <v>428</v>
      </c>
      <c r="C54" s="1163" t="s">
        <v>1018</v>
      </c>
      <c r="D54" s="1143" t="s">
        <v>916</v>
      </c>
      <c r="E54" s="1358">
        <v>12</v>
      </c>
      <c r="F54" s="1177"/>
      <c r="G54" s="1177"/>
    </row>
    <row r="55" spans="2:7" s="1" customFormat="1" x14ac:dyDescent="0.25">
      <c r="B55" s="1167" t="s">
        <v>431</v>
      </c>
      <c r="C55" s="1163" t="s">
        <v>1019</v>
      </c>
      <c r="D55" s="1138" t="s">
        <v>916</v>
      </c>
      <c r="E55" s="1360">
        <v>83</v>
      </c>
      <c r="F55" s="1177"/>
      <c r="G55" s="1177"/>
    </row>
    <row r="56" spans="2:7" s="1" customFormat="1" ht="15.75" thickBot="1" x14ac:dyDescent="0.3">
      <c r="B56" s="1159" t="s">
        <v>446</v>
      </c>
      <c r="C56" s="1160" t="s">
        <v>748</v>
      </c>
      <c r="D56" s="1161" t="s">
        <v>736</v>
      </c>
      <c r="E56" s="1359">
        <v>120</v>
      </c>
      <c r="F56" s="1136"/>
      <c r="G56" s="1136"/>
    </row>
    <row r="57" spans="2:7" s="1" customFormat="1" ht="15.75" thickBot="1" x14ac:dyDescent="0.3">
      <c r="B57" s="1130"/>
      <c r="C57" s="1126" t="s">
        <v>1020</v>
      </c>
      <c r="D57" s="1126"/>
      <c r="E57" s="1131"/>
      <c r="F57" s="1136"/>
      <c r="G57" s="1136"/>
    </row>
    <row r="58" spans="2:7" s="1" customFormat="1" x14ac:dyDescent="0.25">
      <c r="B58" s="1142" t="s">
        <v>65</v>
      </c>
      <c r="C58" s="1143" t="s">
        <v>1021</v>
      </c>
      <c r="D58" s="1143" t="s">
        <v>916</v>
      </c>
      <c r="E58" s="1153">
        <v>3</v>
      </c>
      <c r="F58" s="1136"/>
      <c r="G58" s="1136"/>
    </row>
    <row r="59" spans="2:7" s="1" customFormat="1" x14ac:dyDescent="0.25">
      <c r="B59" s="1142" t="s">
        <v>69</v>
      </c>
      <c r="C59" s="1143" t="s">
        <v>1022</v>
      </c>
      <c r="D59" s="1143" t="s">
        <v>916</v>
      </c>
      <c r="E59" s="1153">
        <v>5</v>
      </c>
      <c r="F59" s="1136"/>
      <c r="G59" s="1136"/>
    </row>
    <row r="60" spans="2:7" s="1" customFormat="1" x14ac:dyDescent="0.25">
      <c r="B60" s="1142" t="s">
        <v>71</v>
      </c>
      <c r="C60" s="1143" t="s">
        <v>1023</v>
      </c>
      <c r="D60" s="1143" t="s">
        <v>916</v>
      </c>
      <c r="E60" s="1153">
        <v>21</v>
      </c>
      <c r="F60" s="1136"/>
      <c r="G60" s="1136"/>
    </row>
    <row r="61" spans="2:7" s="1" customFormat="1" x14ac:dyDescent="0.25">
      <c r="B61" s="1137" t="s">
        <v>73</v>
      </c>
      <c r="C61" s="1138" t="s">
        <v>1024</v>
      </c>
      <c r="D61" s="1178" t="s">
        <v>736</v>
      </c>
      <c r="E61" s="1140">
        <v>28.2</v>
      </c>
      <c r="F61" s="1179"/>
      <c r="G61" s="1136"/>
    </row>
    <row r="62" spans="2:7" s="1" customFormat="1" x14ac:dyDescent="0.25">
      <c r="B62" s="1142" t="s">
        <v>75</v>
      </c>
      <c r="C62" s="1143" t="s">
        <v>1025</v>
      </c>
      <c r="D62" s="1180" t="s">
        <v>1026</v>
      </c>
      <c r="E62" s="1181">
        <f>SUM(E63:E64)</f>
        <v>46.6</v>
      </c>
      <c r="F62" s="1177"/>
      <c r="G62" s="1177"/>
    </row>
    <row r="63" spans="2:7" s="1" customFormat="1" x14ac:dyDescent="0.25">
      <c r="B63" s="1182" t="s">
        <v>801</v>
      </c>
      <c r="C63" s="1174" t="s">
        <v>1027</v>
      </c>
      <c r="D63" s="1175" t="s">
        <v>1026</v>
      </c>
      <c r="E63" s="1176">
        <v>4</v>
      </c>
      <c r="F63" s="1177"/>
      <c r="G63" s="1177"/>
    </row>
    <row r="64" spans="2:7" s="1" customFormat="1" x14ac:dyDescent="0.25">
      <c r="B64" s="1182" t="s">
        <v>1028</v>
      </c>
      <c r="C64" s="1174" t="s">
        <v>1029</v>
      </c>
      <c r="D64" s="1175" t="s">
        <v>1026</v>
      </c>
      <c r="E64" s="1176">
        <v>42.6</v>
      </c>
      <c r="F64" s="1136"/>
      <c r="G64" s="1136"/>
    </row>
    <row r="65" spans="2:7" s="1" customFormat="1" x14ac:dyDescent="0.25">
      <c r="B65" s="1142" t="s">
        <v>466</v>
      </c>
      <c r="C65" s="1143" t="s">
        <v>1030</v>
      </c>
      <c r="D65" s="1143" t="s">
        <v>916</v>
      </c>
      <c r="E65" s="1153">
        <v>913</v>
      </c>
      <c r="F65" s="1136"/>
      <c r="G65" s="1136"/>
    </row>
    <row r="66" spans="2:7" s="1" customFormat="1" x14ac:dyDescent="0.25">
      <c r="B66" s="1142" t="s">
        <v>470</v>
      </c>
      <c r="C66" s="1143" t="s">
        <v>1031</v>
      </c>
      <c r="D66" s="1143" t="s">
        <v>916</v>
      </c>
      <c r="E66" s="1153">
        <v>183</v>
      </c>
      <c r="F66" s="1136"/>
      <c r="G66" s="1136"/>
    </row>
    <row r="67" spans="2:7" s="1" customFormat="1" x14ac:dyDescent="0.25">
      <c r="B67" s="1142" t="s">
        <v>474</v>
      </c>
      <c r="C67" s="1143" t="s">
        <v>1032</v>
      </c>
      <c r="D67" s="1143" t="s">
        <v>916</v>
      </c>
      <c r="E67" s="1153"/>
      <c r="F67" s="1136"/>
      <c r="G67" s="1136"/>
    </row>
    <row r="68" spans="2:7" s="1" customFormat="1" x14ac:dyDescent="0.25">
      <c r="B68" s="1142" t="s">
        <v>478</v>
      </c>
      <c r="C68" s="1143" t="s">
        <v>1033</v>
      </c>
      <c r="D68" s="1143" t="s">
        <v>916</v>
      </c>
      <c r="E68" s="1153">
        <v>108</v>
      </c>
      <c r="F68" s="1179"/>
      <c r="G68" s="1136"/>
    </row>
    <row r="69" spans="2:7" s="1" customFormat="1" x14ac:dyDescent="0.25">
      <c r="B69" s="1142" t="s">
        <v>494</v>
      </c>
      <c r="C69" s="1143" t="s">
        <v>1034</v>
      </c>
      <c r="D69" s="1143" t="s">
        <v>916</v>
      </c>
      <c r="E69" s="1183">
        <f>SUM(E70:E72)</f>
        <v>1267</v>
      </c>
      <c r="F69" s="1177"/>
      <c r="G69" s="1177"/>
    </row>
    <row r="70" spans="2:7" s="1" customFormat="1" x14ac:dyDescent="0.25">
      <c r="B70" s="1182" t="s">
        <v>1035</v>
      </c>
      <c r="C70" s="1174" t="s">
        <v>1036</v>
      </c>
      <c r="D70" s="1175" t="s">
        <v>916</v>
      </c>
      <c r="E70" s="1184">
        <v>546</v>
      </c>
      <c r="F70" s="1177"/>
      <c r="G70" s="1177"/>
    </row>
    <row r="71" spans="2:7" s="1" customFormat="1" x14ac:dyDescent="0.25">
      <c r="B71" s="1182" t="s">
        <v>1037</v>
      </c>
      <c r="C71" s="1174" t="s">
        <v>1038</v>
      </c>
      <c r="D71" s="1175" t="s">
        <v>916</v>
      </c>
      <c r="E71" s="1184">
        <v>180</v>
      </c>
      <c r="F71" s="1177"/>
      <c r="G71" s="1177"/>
    </row>
    <row r="72" spans="2:7" s="1" customFormat="1" x14ac:dyDescent="0.25">
      <c r="B72" s="1182" t="s">
        <v>1039</v>
      </c>
      <c r="C72" s="1174" t="s">
        <v>1040</v>
      </c>
      <c r="D72" s="1175" t="s">
        <v>916</v>
      </c>
      <c r="E72" s="1184">
        <v>541</v>
      </c>
      <c r="F72" s="1136"/>
      <c r="G72" s="1136"/>
    </row>
    <row r="73" spans="2:7" s="1" customFormat="1" x14ac:dyDescent="0.25">
      <c r="B73" s="1142" t="s">
        <v>495</v>
      </c>
      <c r="C73" s="1143" t="s">
        <v>1041</v>
      </c>
      <c r="D73" s="1143" t="s">
        <v>916</v>
      </c>
      <c r="E73" s="1153">
        <v>1982</v>
      </c>
      <c r="F73" s="1136"/>
      <c r="G73" s="1136"/>
    </row>
    <row r="74" spans="2:7" s="1" customFormat="1" ht="15.75" thickBot="1" x14ac:dyDescent="0.3">
      <c r="B74" s="1146" t="s">
        <v>631</v>
      </c>
      <c r="C74" s="1147" t="s">
        <v>1042</v>
      </c>
      <c r="D74" s="1147" t="s">
        <v>916</v>
      </c>
      <c r="E74" s="1185">
        <v>13</v>
      </c>
      <c r="F74" s="1186"/>
      <c r="G74" s="1186"/>
    </row>
    <row r="75" spans="2:7" s="1" customFormat="1" ht="15.75" thickBot="1" x14ac:dyDescent="0.3">
      <c r="B75" s="1130"/>
      <c r="C75" s="1126" t="s">
        <v>1043</v>
      </c>
      <c r="D75" s="1126"/>
      <c r="E75" s="1131"/>
      <c r="F75" s="1141"/>
      <c r="G75" s="1141"/>
    </row>
    <row r="76" spans="2:7" s="1" customFormat="1" x14ac:dyDescent="0.25">
      <c r="B76" s="1142" t="s">
        <v>497</v>
      </c>
      <c r="C76" s="1143" t="s">
        <v>1044</v>
      </c>
      <c r="D76" s="1143" t="s">
        <v>916</v>
      </c>
      <c r="E76" s="1153">
        <v>4</v>
      </c>
      <c r="F76" s="1141"/>
      <c r="G76" s="1141"/>
    </row>
    <row r="77" spans="2:7" s="1" customFormat="1" x14ac:dyDescent="0.25">
      <c r="B77" s="1142" t="s">
        <v>171</v>
      </c>
      <c r="C77" s="1143" t="s">
        <v>1045</v>
      </c>
      <c r="D77" s="1143" t="s">
        <v>916</v>
      </c>
      <c r="E77" s="1153">
        <v>19</v>
      </c>
      <c r="F77" s="1141"/>
      <c r="G77" s="1141"/>
    </row>
    <row r="78" spans="2:7" s="1" customFormat="1" x14ac:dyDescent="0.25">
      <c r="B78" s="1142" t="s">
        <v>173</v>
      </c>
      <c r="C78" s="1143" t="s">
        <v>1046</v>
      </c>
      <c r="D78" s="1143" t="s">
        <v>916</v>
      </c>
      <c r="E78" s="1153">
        <v>38</v>
      </c>
      <c r="F78" s="1141"/>
      <c r="G78" s="1141"/>
    </row>
    <row r="79" spans="2:7" s="1" customFormat="1" x14ac:dyDescent="0.25">
      <c r="B79" s="1137" t="s">
        <v>175</v>
      </c>
      <c r="C79" s="1138" t="s">
        <v>1047</v>
      </c>
      <c r="D79" s="1178" t="s">
        <v>736</v>
      </c>
      <c r="E79" s="1140">
        <v>14</v>
      </c>
      <c r="F79" s="1141"/>
      <c r="G79" s="1141"/>
    </row>
    <row r="80" spans="2:7" s="1" customFormat="1" x14ac:dyDescent="0.25">
      <c r="B80" s="1142" t="s">
        <v>177</v>
      </c>
      <c r="C80" s="1143" t="s">
        <v>1048</v>
      </c>
      <c r="D80" s="1143" t="s">
        <v>1026</v>
      </c>
      <c r="E80" s="1144">
        <v>58.7</v>
      </c>
      <c r="F80" s="1187"/>
      <c r="G80" s="1187"/>
    </row>
    <row r="81" spans="2:7" s="1" customFormat="1" x14ac:dyDescent="0.25">
      <c r="B81" s="1182" t="s">
        <v>648</v>
      </c>
      <c r="C81" s="1174" t="s">
        <v>1049</v>
      </c>
      <c r="D81" s="1175" t="s">
        <v>1026</v>
      </c>
      <c r="E81" s="1176">
        <v>34.799999999999997</v>
      </c>
      <c r="F81" s="1141"/>
      <c r="G81" s="1141"/>
    </row>
    <row r="82" spans="2:7" s="1" customFormat="1" x14ac:dyDescent="0.25">
      <c r="B82" s="1142" t="s">
        <v>179</v>
      </c>
      <c r="C82" s="1143" t="s">
        <v>1050</v>
      </c>
      <c r="D82" s="1143" t="s">
        <v>916</v>
      </c>
      <c r="E82" s="1153">
        <v>878</v>
      </c>
      <c r="F82" s="1141"/>
      <c r="G82" s="1141"/>
    </row>
    <row r="83" spans="2:7" s="1" customFormat="1" x14ac:dyDescent="0.25">
      <c r="B83" s="1142" t="s">
        <v>181</v>
      </c>
      <c r="C83" s="1143" t="s">
        <v>1051</v>
      </c>
      <c r="D83" s="1143" t="s">
        <v>916</v>
      </c>
      <c r="E83" s="1183">
        <f>SUM(E84:E86)</f>
        <v>2687</v>
      </c>
      <c r="F83" s="1141"/>
      <c r="G83" s="1141"/>
    </row>
    <row r="84" spans="2:7" s="1" customFormat="1" x14ac:dyDescent="0.25">
      <c r="B84" s="1182" t="s">
        <v>513</v>
      </c>
      <c r="C84" s="1174" t="s">
        <v>1052</v>
      </c>
      <c r="D84" s="1175" t="s">
        <v>916</v>
      </c>
      <c r="E84" s="1184">
        <v>1698</v>
      </c>
      <c r="F84" s="1187"/>
      <c r="G84" s="1187"/>
    </row>
    <row r="85" spans="2:7" s="1" customFormat="1" x14ac:dyDescent="0.25">
      <c r="B85" s="1182" t="s">
        <v>514</v>
      </c>
      <c r="C85" s="1174" t="s">
        <v>1053</v>
      </c>
      <c r="D85" s="1175" t="s">
        <v>916</v>
      </c>
      <c r="E85" s="1184">
        <v>479</v>
      </c>
      <c r="F85" s="1187"/>
      <c r="G85" s="1187"/>
    </row>
    <row r="86" spans="2:7" s="1" customFormat="1" x14ac:dyDescent="0.25">
      <c r="B86" s="1182" t="s">
        <v>515</v>
      </c>
      <c r="C86" s="1174" t="s">
        <v>1054</v>
      </c>
      <c r="D86" s="1175" t="s">
        <v>916</v>
      </c>
      <c r="E86" s="1184">
        <v>510</v>
      </c>
      <c r="F86" s="1141"/>
      <c r="G86" s="1141"/>
    </row>
    <row r="87" spans="2:7" s="1" customFormat="1" ht="15.75" thickBot="1" x14ac:dyDescent="0.3">
      <c r="B87" s="1146" t="s">
        <v>183</v>
      </c>
      <c r="C87" s="1147" t="s">
        <v>1055</v>
      </c>
      <c r="D87" s="1147" t="s">
        <v>916</v>
      </c>
      <c r="E87" s="1185">
        <v>28</v>
      </c>
      <c r="F87" s="1141"/>
      <c r="G87" s="1141"/>
    </row>
    <row r="88" spans="2:7" s="1" customFormat="1" ht="15.75" thickBot="1" x14ac:dyDescent="0.3">
      <c r="B88" s="1130"/>
      <c r="C88" s="1126" t="s">
        <v>1056</v>
      </c>
      <c r="D88" s="1126"/>
      <c r="E88" s="1131"/>
      <c r="F88" s="1141"/>
      <c r="G88" s="1141"/>
    </row>
    <row r="89" spans="2:7" s="1" customFormat="1" x14ac:dyDescent="0.25">
      <c r="B89" s="1142" t="s">
        <v>212</v>
      </c>
      <c r="C89" s="1143" t="s">
        <v>1057</v>
      </c>
      <c r="D89" s="1143" t="s">
        <v>916</v>
      </c>
      <c r="E89" s="1153">
        <v>27</v>
      </c>
      <c r="F89" s="1141"/>
      <c r="G89" s="1141"/>
    </row>
    <row r="90" spans="2:7" s="1" customFormat="1" x14ac:dyDescent="0.25">
      <c r="B90" s="1142" t="s">
        <v>214</v>
      </c>
      <c r="C90" s="1143" t="s">
        <v>1058</v>
      </c>
      <c r="D90" s="1143" t="s">
        <v>916</v>
      </c>
      <c r="E90" s="1153"/>
      <c r="F90" s="1141"/>
      <c r="G90" s="1141"/>
    </row>
    <row r="91" spans="2:7" s="1" customFormat="1" x14ac:dyDescent="0.25">
      <c r="B91" s="1142" t="s">
        <v>222</v>
      </c>
      <c r="C91" s="1143" t="s">
        <v>1059</v>
      </c>
      <c r="D91" s="1143" t="s">
        <v>916</v>
      </c>
      <c r="E91" s="1153"/>
      <c r="F91" s="1141"/>
      <c r="G91" s="1141"/>
    </row>
    <row r="92" spans="2:7" s="1" customFormat="1" x14ac:dyDescent="0.25">
      <c r="B92" s="1142" t="s">
        <v>224</v>
      </c>
      <c r="C92" s="1138" t="s">
        <v>1060</v>
      </c>
      <c r="D92" s="1178" t="s">
        <v>736</v>
      </c>
      <c r="E92" s="1164"/>
      <c r="F92" s="1141"/>
      <c r="G92" s="1141"/>
    </row>
    <row r="93" spans="2:7" s="1" customFormat="1" x14ac:dyDescent="0.25">
      <c r="B93" s="1142" t="s">
        <v>656</v>
      </c>
      <c r="C93" s="1143" t="s">
        <v>1061</v>
      </c>
      <c r="D93" s="1143" t="s">
        <v>1026</v>
      </c>
      <c r="E93" s="1144">
        <v>6.8</v>
      </c>
      <c r="F93" s="1141"/>
      <c r="G93" s="1141"/>
    </row>
    <row r="94" spans="2:7" s="1" customFormat="1" x14ac:dyDescent="0.25">
      <c r="B94" s="1182" t="s">
        <v>1062</v>
      </c>
      <c r="C94" s="1174" t="s">
        <v>1049</v>
      </c>
      <c r="D94" s="1175" t="s">
        <v>1026</v>
      </c>
      <c r="E94" s="1184"/>
      <c r="F94" s="1141"/>
      <c r="G94" s="1141"/>
    </row>
    <row r="95" spans="2:7" s="1" customFormat="1" x14ac:dyDescent="0.25">
      <c r="B95" s="1142" t="s">
        <v>658</v>
      </c>
      <c r="C95" s="1143" t="s">
        <v>1063</v>
      </c>
      <c r="D95" s="1143" t="s">
        <v>916</v>
      </c>
      <c r="E95" s="1153">
        <v>20</v>
      </c>
      <c r="F95" s="1141"/>
      <c r="G95" s="1141"/>
    </row>
    <row r="96" spans="2:7" s="1" customFormat="1" x14ac:dyDescent="0.25">
      <c r="B96" s="1142" t="s">
        <v>660</v>
      </c>
      <c r="C96" s="1143" t="s">
        <v>1064</v>
      </c>
      <c r="D96" s="1143" t="s">
        <v>916</v>
      </c>
      <c r="E96" s="1153"/>
      <c r="F96" s="1141"/>
      <c r="G96" s="1141"/>
    </row>
    <row r="97" spans="2:7" s="1" customFormat="1" ht="15.75" thickBot="1" x14ac:dyDescent="0.3">
      <c r="B97" s="1146" t="s">
        <v>662</v>
      </c>
      <c r="C97" s="1147" t="s">
        <v>1065</v>
      </c>
      <c r="D97" s="1147" t="s">
        <v>916</v>
      </c>
      <c r="E97" s="1185"/>
      <c r="F97" s="1186"/>
      <c r="G97" s="1186"/>
    </row>
    <row r="98" spans="2:7" s="1" customFormat="1" ht="15.75" thickBot="1" x14ac:dyDescent="0.3">
      <c r="B98" s="1130"/>
      <c r="C98" s="1126" t="s">
        <v>1066</v>
      </c>
      <c r="D98" s="1126"/>
      <c r="E98" s="1131"/>
      <c r="F98" s="1188"/>
      <c r="G98" s="1188"/>
    </row>
    <row r="99" spans="2:7" s="1" customFormat="1" x14ac:dyDescent="0.25">
      <c r="B99" s="1142" t="s">
        <v>83</v>
      </c>
      <c r="C99" s="1189" t="s">
        <v>1067</v>
      </c>
      <c r="D99" s="1180" t="s">
        <v>916</v>
      </c>
      <c r="E99" s="1190"/>
      <c r="F99" s="1188"/>
      <c r="G99" s="1188"/>
    </row>
    <row r="100" spans="2:7" s="1" customFormat="1" x14ac:dyDescent="0.25">
      <c r="B100" s="1142" t="s">
        <v>85</v>
      </c>
      <c r="C100" s="1191" t="s">
        <v>1068</v>
      </c>
      <c r="D100" s="1143" t="s">
        <v>1069</v>
      </c>
      <c r="E100" s="1153"/>
      <c r="F100" s="1141"/>
      <c r="G100" s="1141"/>
    </row>
    <row r="101" spans="2:7" s="1" customFormat="1" x14ac:dyDescent="0.25">
      <c r="B101" s="1142" t="s">
        <v>1070</v>
      </c>
      <c r="C101" s="1192" t="s">
        <v>1071</v>
      </c>
      <c r="D101" s="1143" t="s">
        <v>742</v>
      </c>
      <c r="E101" s="1144">
        <v>445.1</v>
      </c>
      <c r="F101" s="1188"/>
      <c r="G101" s="1188"/>
    </row>
    <row r="102" spans="2:7" s="1" customFormat="1" x14ac:dyDescent="0.25">
      <c r="B102" s="1142" t="s">
        <v>1072</v>
      </c>
      <c r="C102" s="1191" t="s">
        <v>1073</v>
      </c>
      <c r="D102" s="1143" t="s">
        <v>916</v>
      </c>
      <c r="E102" s="1153"/>
      <c r="F102" s="1141"/>
      <c r="G102" s="1141"/>
    </row>
    <row r="103" spans="2:7" s="1" customFormat="1" x14ac:dyDescent="0.25">
      <c r="B103" s="1142" t="s">
        <v>1074</v>
      </c>
      <c r="C103" s="1192" t="s">
        <v>1075</v>
      </c>
      <c r="D103" s="1143" t="s">
        <v>742</v>
      </c>
      <c r="E103" s="1144"/>
      <c r="F103" s="1188"/>
      <c r="G103" s="1188"/>
    </row>
    <row r="104" spans="2:7" s="1" customFormat="1" x14ac:dyDescent="0.25">
      <c r="B104" s="1142" t="s">
        <v>1076</v>
      </c>
      <c r="C104" s="1191" t="s">
        <v>1077</v>
      </c>
      <c r="D104" s="1143" t="s">
        <v>916</v>
      </c>
      <c r="E104" s="1153">
        <v>4</v>
      </c>
      <c r="F104" s="1141"/>
      <c r="G104" s="1141"/>
    </row>
    <row r="105" spans="2:7" s="1" customFormat="1" x14ac:dyDescent="0.25">
      <c r="B105" s="1142" t="s">
        <v>1078</v>
      </c>
      <c r="C105" s="1192" t="s">
        <v>1079</v>
      </c>
      <c r="D105" s="1143" t="s">
        <v>742</v>
      </c>
      <c r="E105" s="1144">
        <v>445.13</v>
      </c>
      <c r="F105" s="1188"/>
      <c r="G105" s="1188"/>
    </row>
    <row r="106" spans="2:7" s="1" customFormat="1" x14ac:dyDescent="0.25">
      <c r="B106" s="1142" t="s">
        <v>1080</v>
      </c>
      <c r="C106" s="1191" t="s">
        <v>1081</v>
      </c>
      <c r="D106" s="1143" t="s">
        <v>916</v>
      </c>
      <c r="E106" s="1153"/>
      <c r="F106" s="1193"/>
      <c r="G106" s="1188"/>
    </row>
    <row r="107" spans="2:7" s="1" customFormat="1" x14ac:dyDescent="0.25">
      <c r="B107" s="1142" t="s">
        <v>1082</v>
      </c>
      <c r="C107" s="1192" t="s">
        <v>1083</v>
      </c>
      <c r="D107" s="1143" t="s">
        <v>742</v>
      </c>
      <c r="E107" s="1144"/>
      <c r="F107" s="1166"/>
      <c r="G107" s="1166"/>
    </row>
    <row r="108" spans="2:7" s="1" customFormat="1" x14ac:dyDescent="0.25">
      <c r="B108" s="1142" t="s">
        <v>1084</v>
      </c>
      <c r="C108" s="1192" t="s">
        <v>1085</v>
      </c>
      <c r="D108" s="1143" t="s">
        <v>916</v>
      </c>
      <c r="E108" s="1153">
        <v>12</v>
      </c>
      <c r="F108" s="1187"/>
      <c r="G108" s="1187"/>
    </row>
    <row r="109" spans="2:7" s="1" customFormat="1" x14ac:dyDescent="0.25">
      <c r="B109" s="1142" t="s">
        <v>1086</v>
      </c>
      <c r="C109" s="1192" t="s">
        <v>1087</v>
      </c>
      <c r="D109" s="1143" t="s">
        <v>916</v>
      </c>
      <c r="E109" s="1153">
        <v>18</v>
      </c>
      <c r="F109" s="1187"/>
      <c r="G109" s="1187"/>
    </row>
    <row r="110" spans="2:7" s="1" customFormat="1" x14ac:dyDescent="0.25">
      <c r="B110" s="1194" t="s">
        <v>1088</v>
      </c>
      <c r="C110" s="1195" t="s">
        <v>1089</v>
      </c>
      <c r="D110" s="1145" t="s">
        <v>916</v>
      </c>
      <c r="E110" s="1196">
        <v>26</v>
      </c>
      <c r="F110" s="1141"/>
      <c r="G110" s="1141"/>
    </row>
    <row r="111" spans="2:7" s="1" customFormat="1" x14ac:dyDescent="0.25">
      <c r="B111" s="1197" t="s">
        <v>1090</v>
      </c>
      <c r="C111" s="1198" t="s">
        <v>1091</v>
      </c>
      <c r="D111" s="1199"/>
      <c r="E111" s="1200"/>
      <c r="F111" s="1188"/>
      <c r="G111" s="1188"/>
    </row>
    <row r="112" spans="2:7" s="1" customFormat="1" x14ac:dyDescent="0.25">
      <c r="B112" s="1201" t="s">
        <v>1092</v>
      </c>
      <c r="C112" s="1189" t="s">
        <v>1093</v>
      </c>
      <c r="D112" s="1180" t="s">
        <v>965</v>
      </c>
      <c r="E112" s="1202">
        <v>186.4</v>
      </c>
      <c r="F112" s="1188"/>
      <c r="G112" s="1188"/>
    </row>
    <row r="113" spans="2:7" s="1" customFormat="1" x14ac:dyDescent="0.25">
      <c r="B113" s="1142" t="s">
        <v>1094</v>
      </c>
      <c r="C113" s="1191" t="s">
        <v>1095</v>
      </c>
      <c r="D113" s="1143" t="s">
        <v>965</v>
      </c>
      <c r="E113" s="1144">
        <v>320</v>
      </c>
      <c r="F113" s="1188"/>
      <c r="G113" s="1188"/>
    </row>
    <row r="114" spans="2:7" s="1" customFormat="1" x14ac:dyDescent="0.25">
      <c r="B114" s="1142" t="s">
        <v>1096</v>
      </c>
      <c r="C114" s="1191" t="s">
        <v>1097</v>
      </c>
      <c r="D114" s="1143" t="s">
        <v>965</v>
      </c>
      <c r="E114" s="1144"/>
      <c r="F114" s="1188"/>
      <c r="G114" s="1188"/>
    </row>
    <row r="115" spans="2:7" s="1" customFormat="1" x14ac:dyDescent="0.25">
      <c r="B115" s="1142" t="s">
        <v>1098</v>
      </c>
      <c r="C115" s="1191" t="s">
        <v>1099</v>
      </c>
      <c r="D115" s="1143" t="s">
        <v>965</v>
      </c>
      <c r="E115" s="1144">
        <v>81.5</v>
      </c>
      <c r="F115" s="1188"/>
      <c r="G115" s="1188"/>
    </row>
    <row r="116" spans="2:7" s="1" customFormat="1" x14ac:dyDescent="0.25">
      <c r="B116" s="1194" t="s">
        <v>1100</v>
      </c>
      <c r="C116" s="1203" t="s">
        <v>1101</v>
      </c>
      <c r="D116" s="1145" t="s">
        <v>965</v>
      </c>
      <c r="E116" s="1204">
        <v>8.3000000000000007</v>
      </c>
      <c r="F116" s="1141"/>
      <c r="G116" s="1141"/>
    </row>
    <row r="117" spans="2:7" s="1" customFormat="1" x14ac:dyDescent="0.25">
      <c r="B117" s="1197" t="s">
        <v>1102</v>
      </c>
      <c r="C117" s="1198" t="s">
        <v>1103</v>
      </c>
      <c r="D117" s="1199"/>
      <c r="E117" s="1205"/>
      <c r="F117" s="1188"/>
      <c r="G117" s="1188"/>
    </row>
    <row r="118" spans="2:7" s="1" customFormat="1" x14ac:dyDescent="0.25">
      <c r="B118" s="1201" t="s">
        <v>1104</v>
      </c>
      <c r="C118" s="1189" t="s">
        <v>1105</v>
      </c>
      <c r="D118" s="1180" t="s">
        <v>965</v>
      </c>
      <c r="E118" s="1202">
        <v>6.2</v>
      </c>
      <c r="F118" s="1188"/>
      <c r="G118" s="1188"/>
    </row>
    <row r="119" spans="2:7" s="1" customFormat="1" x14ac:dyDescent="0.25">
      <c r="B119" s="1142" t="s">
        <v>1106</v>
      </c>
      <c r="C119" s="1191" t="s">
        <v>1095</v>
      </c>
      <c r="D119" s="1143" t="s">
        <v>965</v>
      </c>
      <c r="E119" s="1144">
        <v>7.2</v>
      </c>
      <c r="F119" s="1188"/>
      <c r="G119" s="1188"/>
    </row>
    <row r="120" spans="2:7" s="1" customFormat="1" x14ac:dyDescent="0.25">
      <c r="B120" s="1142" t="s">
        <v>1107</v>
      </c>
      <c r="C120" s="1191" t="s">
        <v>1097</v>
      </c>
      <c r="D120" s="1143" t="s">
        <v>965</v>
      </c>
      <c r="E120" s="1144"/>
      <c r="F120" s="1188"/>
      <c r="G120" s="1188"/>
    </row>
    <row r="121" spans="2:7" s="1" customFormat="1" x14ac:dyDescent="0.25">
      <c r="B121" s="1142" t="s">
        <v>1108</v>
      </c>
      <c r="C121" s="1191" t="s">
        <v>1099</v>
      </c>
      <c r="D121" s="1143" t="s">
        <v>965</v>
      </c>
      <c r="E121" s="1144">
        <v>14.1</v>
      </c>
      <c r="F121" s="1188"/>
      <c r="G121" s="1188"/>
    </row>
    <row r="122" spans="2:7" s="1" customFormat="1" x14ac:dyDescent="0.25">
      <c r="B122" s="1142" t="s">
        <v>1109</v>
      </c>
      <c r="C122" s="1191" t="s">
        <v>1101</v>
      </c>
      <c r="D122" s="1143" t="s">
        <v>965</v>
      </c>
      <c r="E122" s="1144">
        <v>3.1</v>
      </c>
      <c r="F122" s="1141"/>
      <c r="G122" s="1141"/>
    </row>
    <row r="123" spans="2:7" s="1" customFormat="1" x14ac:dyDescent="0.25">
      <c r="B123" s="1206" t="s">
        <v>1110</v>
      </c>
      <c r="C123" s="1198" t="s">
        <v>1111</v>
      </c>
      <c r="D123" s="1199"/>
      <c r="E123" s="1207"/>
      <c r="F123" s="1141"/>
      <c r="G123" s="1141"/>
    </row>
    <row r="124" spans="2:7" s="1" customFormat="1" x14ac:dyDescent="0.25">
      <c r="B124" s="1142" t="s">
        <v>1112</v>
      </c>
      <c r="C124" s="1191" t="s">
        <v>1113</v>
      </c>
      <c r="D124" s="1143" t="s">
        <v>764</v>
      </c>
      <c r="E124" s="1144"/>
      <c r="F124" s="1141"/>
      <c r="G124" s="1141"/>
    </row>
    <row r="125" spans="2:7" s="1" customFormat="1" x14ac:dyDescent="0.25">
      <c r="B125" s="1142" t="s">
        <v>1114</v>
      </c>
      <c r="C125" s="1191" t="s">
        <v>1115</v>
      </c>
      <c r="D125" s="1143" t="s">
        <v>764</v>
      </c>
      <c r="E125" s="1144"/>
      <c r="F125" s="1141"/>
      <c r="G125" s="1141"/>
    </row>
    <row r="126" spans="2:7" s="1" customFormat="1" x14ac:dyDescent="0.25">
      <c r="B126" s="1142" t="s">
        <v>1116</v>
      </c>
      <c r="C126" s="1191" t="s">
        <v>1117</v>
      </c>
      <c r="D126" s="1143" t="s">
        <v>764</v>
      </c>
      <c r="E126" s="1144"/>
      <c r="F126" s="1141"/>
      <c r="G126" s="1141"/>
    </row>
    <row r="127" spans="2:7" s="1" customFormat="1" x14ac:dyDescent="0.25">
      <c r="B127" s="1194" t="s">
        <v>1118</v>
      </c>
      <c r="C127" s="1203" t="s">
        <v>1119</v>
      </c>
      <c r="D127" s="1145" t="s">
        <v>764</v>
      </c>
      <c r="E127" s="1204"/>
      <c r="F127" s="1141"/>
      <c r="G127" s="1141"/>
    </row>
    <row r="128" spans="2:7" s="1" customFormat="1" x14ac:dyDescent="0.25">
      <c r="B128" s="1197" t="s">
        <v>1120</v>
      </c>
      <c r="C128" s="1198" t="s">
        <v>1121</v>
      </c>
      <c r="D128" s="1199"/>
      <c r="E128" s="1200"/>
      <c r="F128" s="1141"/>
      <c r="G128" s="1141"/>
    </row>
    <row r="129" spans="2:7" s="1" customFormat="1" x14ac:dyDescent="0.25">
      <c r="B129" s="1194" t="s">
        <v>1122</v>
      </c>
      <c r="C129" s="1203" t="s">
        <v>1093</v>
      </c>
      <c r="D129" s="1145" t="s">
        <v>764</v>
      </c>
      <c r="E129" s="1208">
        <f>(E112-E118)*E130/1000</f>
        <v>80.207020000000014</v>
      </c>
      <c r="F129" s="1141"/>
      <c r="G129" s="1141"/>
    </row>
    <row r="130" spans="2:7" s="1" customFormat="1" ht="15.75" thickBot="1" x14ac:dyDescent="0.3">
      <c r="B130" s="1209" t="s">
        <v>1123</v>
      </c>
      <c r="C130" s="1210" t="s">
        <v>1124</v>
      </c>
      <c r="D130" s="1147" t="s">
        <v>742</v>
      </c>
      <c r="E130" s="1211">
        <f>VAS077_F_Isvalytasbuiti1AtaskaitinisLaikotarpis</f>
        <v>445.1</v>
      </c>
      <c r="F130" s="1141"/>
      <c r="G130" s="1141"/>
    </row>
    <row r="131" spans="2:7" s="1" customFormat="1" ht="15.75" thickBot="1" x14ac:dyDescent="0.3">
      <c r="B131" s="1130"/>
      <c r="C131" s="1126" t="s">
        <v>1125</v>
      </c>
      <c r="D131" s="1126"/>
      <c r="E131" s="1131"/>
      <c r="F131" s="1141"/>
      <c r="G131" s="1141"/>
    </row>
    <row r="132" spans="2:7" s="1" customFormat="1" x14ac:dyDescent="0.25">
      <c r="B132" s="1212" t="s">
        <v>1126</v>
      </c>
      <c r="C132" s="1213" t="s">
        <v>1127</v>
      </c>
      <c r="D132" s="1143" t="s">
        <v>742</v>
      </c>
      <c r="E132" s="1214"/>
      <c r="F132" s="1141"/>
      <c r="G132" s="1141"/>
    </row>
    <row r="133" spans="2:7" s="1" customFormat="1" x14ac:dyDescent="0.25">
      <c r="B133" s="1142" t="s">
        <v>1128</v>
      </c>
      <c r="C133" s="1192" t="s">
        <v>1129</v>
      </c>
      <c r="D133" s="1143" t="s">
        <v>916</v>
      </c>
      <c r="E133" s="1153"/>
      <c r="F133" s="1141"/>
      <c r="G133" s="1141"/>
    </row>
    <row r="134" spans="2:7" s="1" customFormat="1" x14ac:dyDescent="0.25">
      <c r="B134" s="1215" t="s">
        <v>1130</v>
      </c>
      <c r="C134" s="1216" t="s">
        <v>1131</v>
      </c>
      <c r="D134" s="1217" t="s">
        <v>916</v>
      </c>
      <c r="E134" s="1196"/>
      <c r="F134" s="1141"/>
      <c r="G134" s="1141"/>
    </row>
    <row r="135" spans="2:7" s="1" customFormat="1" x14ac:dyDescent="0.25">
      <c r="B135" s="1197" t="s">
        <v>1132</v>
      </c>
      <c r="C135" s="1198" t="s">
        <v>1133</v>
      </c>
      <c r="D135" s="1199"/>
      <c r="E135" s="1200"/>
      <c r="F135" s="1141"/>
      <c r="G135" s="1141"/>
    </row>
    <row r="136" spans="2:7" s="1" customFormat="1" x14ac:dyDescent="0.25">
      <c r="B136" s="1201" t="s">
        <v>1134</v>
      </c>
      <c r="C136" s="1189" t="s">
        <v>1093</v>
      </c>
      <c r="D136" s="1180" t="s">
        <v>965</v>
      </c>
      <c r="E136" s="1202"/>
      <c r="F136" s="1141"/>
      <c r="G136" s="1141"/>
    </row>
    <row r="137" spans="2:7" s="1" customFormat="1" x14ac:dyDescent="0.25">
      <c r="B137" s="1142" t="s">
        <v>1135</v>
      </c>
      <c r="C137" s="1191" t="s">
        <v>1095</v>
      </c>
      <c r="D137" s="1143" t="s">
        <v>965</v>
      </c>
      <c r="E137" s="1144"/>
      <c r="F137" s="1141"/>
      <c r="G137" s="1141"/>
    </row>
    <row r="138" spans="2:7" s="1" customFormat="1" x14ac:dyDescent="0.25">
      <c r="B138" s="1142" t="s">
        <v>1136</v>
      </c>
      <c r="C138" s="1191" t="s">
        <v>1137</v>
      </c>
      <c r="D138" s="1143" t="s">
        <v>965</v>
      </c>
      <c r="E138" s="1144"/>
      <c r="F138" s="1141"/>
      <c r="G138" s="1141"/>
    </row>
    <row r="139" spans="2:7" s="1" customFormat="1" x14ac:dyDescent="0.25">
      <c r="B139" s="1197" t="s">
        <v>1138</v>
      </c>
      <c r="C139" s="1198" t="s">
        <v>1139</v>
      </c>
      <c r="D139" s="1199"/>
      <c r="E139" s="1205"/>
      <c r="F139" s="1141"/>
      <c r="G139" s="1141"/>
    </row>
    <row r="140" spans="2:7" s="1" customFormat="1" x14ac:dyDescent="0.25">
      <c r="B140" s="1201" t="s">
        <v>1140</v>
      </c>
      <c r="C140" s="1189" t="s">
        <v>1105</v>
      </c>
      <c r="D140" s="1180" t="s">
        <v>965</v>
      </c>
      <c r="E140" s="1202"/>
      <c r="F140" s="1141"/>
      <c r="G140" s="1141"/>
    </row>
    <row r="141" spans="2:7" s="1" customFormat="1" x14ac:dyDescent="0.25">
      <c r="B141" s="1142" t="s">
        <v>1141</v>
      </c>
      <c r="C141" s="1191" t="s">
        <v>1095</v>
      </c>
      <c r="D141" s="1143" t="s">
        <v>965</v>
      </c>
      <c r="E141" s="1144"/>
      <c r="F141" s="1141"/>
      <c r="G141" s="1141"/>
    </row>
    <row r="142" spans="2:7" s="1" customFormat="1" x14ac:dyDescent="0.25">
      <c r="B142" s="1194" t="s">
        <v>1142</v>
      </c>
      <c r="C142" s="1203" t="s">
        <v>1137</v>
      </c>
      <c r="D142" s="1145" t="s">
        <v>965</v>
      </c>
      <c r="E142" s="1204"/>
      <c r="F142" s="1141"/>
      <c r="G142" s="1141"/>
    </row>
    <row r="143" spans="2:7" s="1" customFormat="1" x14ac:dyDescent="0.25">
      <c r="B143" s="1197" t="s">
        <v>1143</v>
      </c>
      <c r="C143" s="1198" t="s">
        <v>1121</v>
      </c>
      <c r="D143" s="1198"/>
      <c r="E143" s="1200"/>
      <c r="F143" s="1141"/>
      <c r="G143" s="1141"/>
    </row>
    <row r="144" spans="2:7" s="1" customFormat="1" ht="15.75" thickBot="1" x14ac:dyDescent="0.3">
      <c r="B144" s="1146" t="s">
        <v>1144</v>
      </c>
      <c r="C144" s="1191" t="s">
        <v>1093</v>
      </c>
      <c r="D144" s="1143" t="s">
        <v>764</v>
      </c>
      <c r="E144" s="1181">
        <f>(E136-E140)*E132/1000</f>
        <v>0</v>
      </c>
      <c r="F144" s="1186"/>
      <c r="G144" s="1186"/>
    </row>
    <row r="145" spans="2:7" s="1" customFormat="1" ht="15.75" thickBot="1" x14ac:dyDescent="0.3">
      <c r="B145" s="1130"/>
      <c r="C145" s="1126" t="s">
        <v>1145</v>
      </c>
      <c r="D145" s="1126"/>
      <c r="E145" s="1131"/>
      <c r="F145" s="1186"/>
      <c r="G145" s="1186"/>
    </row>
    <row r="146" spans="2:7" s="1" customFormat="1" x14ac:dyDescent="0.25">
      <c r="B146" s="1212" t="s">
        <v>9</v>
      </c>
      <c r="C146" s="1218" t="s">
        <v>1146</v>
      </c>
      <c r="D146" s="1143" t="s">
        <v>742</v>
      </c>
      <c r="E146" s="1214">
        <v>8.6999999999999993</v>
      </c>
      <c r="F146" s="1186"/>
      <c r="G146" s="1186"/>
    </row>
    <row r="147" spans="2:7" s="1" customFormat="1" x14ac:dyDescent="0.25">
      <c r="B147" s="1142" t="s">
        <v>1147</v>
      </c>
      <c r="C147" s="1219" t="s">
        <v>1148</v>
      </c>
      <c r="D147" s="1220" t="s">
        <v>904</v>
      </c>
      <c r="E147" s="1221">
        <v>0.99</v>
      </c>
      <c r="F147" s="1186"/>
      <c r="G147" s="1186"/>
    </row>
    <row r="148" spans="2:7" s="1" customFormat="1" x14ac:dyDescent="0.25">
      <c r="B148" s="1142" t="s">
        <v>1149</v>
      </c>
      <c r="C148" s="1219" t="s">
        <v>1150</v>
      </c>
      <c r="D148" s="1143" t="s">
        <v>1151</v>
      </c>
      <c r="E148" s="1144">
        <v>0.09</v>
      </c>
      <c r="F148" s="1186"/>
      <c r="G148" s="1186"/>
    </row>
    <row r="149" spans="2:7" s="1" customFormat="1" ht="15.75" thickBot="1" x14ac:dyDescent="0.3">
      <c r="B149" s="1222" t="s">
        <v>1152</v>
      </c>
      <c r="C149" s="1223" t="s">
        <v>1153</v>
      </c>
      <c r="D149" s="1224" t="s">
        <v>916</v>
      </c>
      <c r="E149" s="1225">
        <v>4</v>
      </c>
      <c r="F149" s="1186"/>
      <c r="G149" s="1186"/>
    </row>
    <row r="150" spans="2:7" s="1" customFormat="1" x14ac:dyDescent="0.25">
      <c r="B150" s="1226" t="s">
        <v>1154</v>
      </c>
      <c r="C150" s="1227" t="s">
        <v>1155</v>
      </c>
      <c r="D150" s="1227"/>
      <c r="E150" s="1228"/>
      <c r="F150" s="1141"/>
      <c r="G150" s="1141"/>
    </row>
    <row r="151" spans="2:7" s="1" customFormat="1" x14ac:dyDescent="0.25">
      <c r="B151" s="1201" t="s">
        <v>1156</v>
      </c>
      <c r="C151" s="1229" t="s">
        <v>1157</v>
      </c>
      <c r="D151" s="1143" t="s">
        <v>742</v>
      </c>
      <c r="E151" s="1144">
        <v>8.6999999999999993</v>
      </c>
      <c r="F151" s="1187"/>
      <c r="G151" s="1187"/>
    </row>
    <row r="152" spans="2:7" s="1" customFormat="1" x14ac:dyDescent="0.25">
      <c r="B152" s="1142" t="s">
        <v>1158</v>
      </c>
      <c r="C152" s="1219" t="s">
        <v>1159</v>
      </c>
      <c r="D152" s="1220" t="s">
        <v>904</v>
      </c>
      <c r="E152" s="1221">
        <v>0.86</v>
      </c>
      <c r="F152" s="1141"/>
      <c r="G152" s="1141"/>
    </row>
    <row r="153" spans="2:7" s="1" customFormat="1" x14ac:dyDescent="0.25">
      <c r="B153" s="1201" t="s">
        <v>1160</v>
      </c>
      <c r="C153" s="1230" t="s">
        <v>1161</v>
      </c>
      <c r="D153" s="1224" t="s">
        <v>1151</v>
      </c>
      <c r="E153" s="1144">
        <v>0.1</v>
      </c>
      <c r="F153" s="1141"/>
      <c r="G153" s="1141"/>
    </row>
    <row r="154" spans="2:7" s="1" customFormat="1" ht="15.75" thickBot="1" x14ac:dyDescent="0.3">
      <c r="B154" s="1194" t="s">
        <v>1162</v>
      </c>
      <c r="C154" s="1231" t="s">
        <v>1163</v>
      </c>
      <c r="D154" s="1145" t="s">
        <v>916</v>
      </c>
      <c r="E154" s="1196">
        <v>4</v>
      </c>
      <c r="F154" s="1141"/>
      <c r="G154" s="1141"/>
    </row>
    <row r="155" spans="2:7" s="1" customFormat="1" x14ac:dyDescent="0.25">
      <c r="B155" s="1226" t="s">
        <v>1164</v>
      </c>
      <c r="C155" s="1227" t="s">
        <v>1165</v>
      </c>
      <c r="D155" s="1227"/>
      <c r="E155" s="1232"/>
      <c r="F155" s="1141"/>
      <c r="G155" s="1141"/>
    </row>
    <row r="156" spans="2:7" s="1" customFormat="1" x14ac:dyDescent="0.25">
      <c r="B156" s="1142" t="s">
        <v>1166</v>
      </c>
      <c r="C156" s="1219" t="s">
        <v>1167</v>
      </c>
      <c r="D156" s="1143" t="s">
        <v>742</v>
      </c>
      <c r="E156" s="1144"/>
      <c r="F156" s="1141"/>
      <c r="G156" s="1141"/>
    </row>
    <row r="157" spans="2:7" s="1" customFormat="1" x14ac:dyDescent="0.25">
      <c r="B157" s="1142" t="s">
        <v>1168</v>
      </c>
      <c r="C157" s="1219" t="s">
        <v>1169</v>
      </c>
      <c r="D157" s="1220" t="s">
        <v>904</v>
      </c>
      <c r="E157" s="1221"/>
      <c r="F157" s="1141"/>
      <c r="G157" s="1141"/>
    </row>
    <row r="158" spans="2:7" s="1" customFormat="1" x14ac:dyDescent="0.25">
      <c r="B158" s="1142" t="s">
        <v>1170</v>
      </c>
      <c r="C158" s="1230" t="s">
        <v>1171</v>
      </c>
      <c r="D158" s="1224" t="s">
        <v>1151</v>
      </c>
      <c r="E158" s="1144"/>
      <c r="F158" s="1141"/>
      <c r="G158" s="1141"/>
    </row>
    <row r="159" spans="2:7" s="1" customFormat="1" ht="15.75" thickBot="1" x14ac:dyDescent="0.3">
      <c r="B159" s="1194" t="s">
        <v>1172</v>
      </c>
      <c r="C159" s="1231" t="s">
        <v>1173</v>
      </c>
      <c r="D159" s="1145" t="s">
        <v>916</v>
      </c>
      <c r="E159" s="1196"/>
      <c r="F159" s="1141"/>
      <c r="G159" s="1141"/>
    </row>
    <row r="160" spans="2:7" s="1" customFormat="1" x14ac:dyDescent="0.25">
      <c r="B160" s="1226" t="s">
        <v>1174</v>
      </c>
      <c r="C160" s="1227" t="s">
        <v>1175</v>
      </c>
      <c r="D160" s="1227"/>
      <c r="E160" s="1233"/>
      <c r="F160" s="1141"/>
      <c r="G160" s="1141"/>
    </row>
    <row r="161" spans="2:7" s="1" customFormat="1" x14ac:dyDescent="0.25">
      <c r="B161" s="1142" t="s">
        <v>1176</v>
      </c>
      <c r="C161" s="1234" t="s">
        <v>1177</v>
      </c>
      <c r="D161" s="1143" t="s">
        <v>742</v>
      </c>
      <c r="E161" s="1144"/>
      <c r="F161" s="1141"/>
      <c r="G161" s="1141"/>
    </row>
    <row r="162" spans="2:7" s="1" customFormat="1" x14ac:dyDescent="0.25">
      <c r="B162" s="1142" t="s">
        <v>1178</v>
      </c>
      <c r="C162" s="1234" t="s">
        <v>1179</v>
      </c>
      <c r="D162" s="1143" t="s">
        <v>904</v>
      </c>
      <c r="E162" s="1221"/>
      <c r="F162" s="1141"/>
      <c r="G162" s="1141"/>
    </row>
    <row r="163" spans="2:7" s="1" customFormat="1" x14ac:dyDescent="0.25">
      <c r="B163" s="1142" t="s">
        <v>1180</v>
      </c>
      <c r="C163" s="1234" t="s">
        <v>1181</v>
      </c>
      <c r="D163" s="1143" t="s">
        <v>1182</v>
      </c>
      <c r="E163" s="1144"/>
      <c r="F163" s="1141"/>
      <c r="G163" s="1141"/>
    </row>
    <row r="164" spans="2:7" s="1" customFormat="1" ht="15.75" thickBot="1" x14ac:dyDescent="0.3">
      <c r="B164" s="1194" t="s">
        <v>1183</v>
      </c>
      <c r="C164" s="1231" t="s">
        <v>1184</v>
      </c>
      <c r="D164" s="1145" t="s">
        <v>916</v>
      </c>
      <c r="E164" s="1196"/>
      <c r="F164" s="1141"/>
      <c r="G164" s="1141"/>
    </row>
    <row r="165" spans="2:7" s="1" customFormat="1" x14ac:dyDescent="0.25">
      <c r="B165" s="1226" t="s">
        <v>1185</v>
      </c>
      <c r="C165" s="1235" t="s">
        <v>1186</v>
      </c>
      <c r="D165" s="1236"/>
      <c r="E165" s="1237"/>
      <c r="F165" s="1141"/>
      <c r="G165" s="1141"/>
    </row>
    <row r="166" spans="2:7" s="1" customFormat="1" x14ac:dyDescent="0.25">
      <c r="B166" s="1142" t="s">
        <v>1187</v>
      </c>
      <c r="C166" s="1219" t="s">
        <v>1188</v>
      </c>
      <c r="D166" s="1143" t="s">
        <v>742</v>
      </c>
      <c r="E166" s="1144"/>
      <c r="F166" s="1141"/>
      <c r="G166" s="1141"/>
    </row>
    <row r="167" spans="2:7" s="1" customFormat="1" x14ac:dyDescent="0.25">
      <c r="B167" s="1142" t="s">
        <v>1189</v>
      </c>
      <c r="C167" s="1219" t="s">
        <v>1190</v>
      </c>
      <c r="D167" s="1220" t="s">
        <v>904</v>
      </c>
      <c r="E167" s="1221"/>
      <c r="F167" s="1141"/>
      <c r="G167" s="1141"/>
    </row>
    <row r="168" spans="2:7" s="1" customFormat="1" x14ac:dyDescent="0.25">
      <c r="B168" s="1201" t="s">
        <v>1191</v>
      </c>
      <c r="C168" s="1230" t="s">
        <v>1192</v>
      </c>
      <c r="D168" s="1224" t="s">
        <v>1151</v>
      </c>
      <c r="E168" s="1144"/>
      <c r="F168" s="1141"/>
      <c r="G168" s="1141"/>
    </row>
    <row r="169" spans="2:7" s="1" customFormat="1" ht="15.75" thickBot="1" x14ac:dyDescent="0.3">
      <c r="B169" s="1194" t="s">
        <v>1193</v>
      </c>
      <c r="C169" s="1231" t="s">
        <v>1194</v>
      </c>
      <c r="D169" s="1145" t="s">
        <v>916</v>
      </c>
      <c r="E169" s="1196"/>
      <c r="F169" s="1141"/>
      <c r="G169" s="1141"/>
    </row>
    <row r="170" spans="2:7" s="1" customFormat="1" x14ac:dyDescent="0.25">
      <c r="B170" s="1226" t="s">
        <v>1195</v>
      </c>
      <c r="C170" s="1227" t="s">
        <v>1196</v>
      </c>
      <c r="D170" s="1227"/>
      <c r="E170" s="1232"/>
      <c r="F170" s="1141"/>
      <c r="G170" s="1141"/>
    </row>
    <row r="171" spans="2:7" s="1" customFormat="1" x14ac:dyDescent="0.25">
      <c r="B171" s="1142" t="s">
        <v>1197</v>
      </c>
      <c r="C171" s="1238" t="s">
        <v>1198</v>
      </c>
      <c r="D171" s="1143" t="s">
        <v>742</v>
      </c>
      <c r="E171" s="1144"/>
      <c r="F171" s="1141"/>
      <c r="G171" s="1141"/>
    </row>
    <row r="172" spans="2:7" s="1" customFormat="1" x14ac:dyDescent="0.25">
      <c r="B172" s="1142" t="s">
        <v>1199</v>
      </c>
      <c r="C172" s="1239" t="s">
        <v>1200</v>
      </c>
      <c r="D172" s="1220" t="s">
        <v>904</v>
      </c>
      <c r="E172" s="1221"/>
      <c r="F172" s="1141"/>
      <c r="G172" s="1141"/>
    </row>
    <row r="173" spans="2:7" s="1" customFormat="1" x14ac:dyDescent="0.25">
      <c r="B173" s="1142" t="s">
        <v>1201</v>
      </c>
      <c r="C173" s="1239" t="s">
        <v>1202</v>
      </c>
      <c r="D173" s="1180" t="s">
        <v>1151</v>
      </c>
      <c r="E173" s="1144"/>
      <c r="F173" s="1141"/>
      <c r="G173" s="1141"/>
    </row>
    <row r="174" spans="2:7" s="1" customFormat="1" x14ac:dyDescent="0.25">
      <c r="B174" s="1142" t="s">
        <v>1203</v>
      </c>
      <c r="C174" s="1240" t="s">
        <v>1204</v>
      </c>
      <c r="D174" s="1224" t="s">
        <v>1151</v>
      </c>
      <c r="E174" s="1144"/>
      <c r="F174" s="1141"/>
      <c r="G174" s="1141"/>
    </row>
    <row r="175" spans="2:7" s="1" customFormat="1" ht="15.75" thickBot="1" x14ac:dyDescent="0.3">
      <c r="B175" s="1194" t="s">
        <v>1205</v>
      </c>
      <c r="C175" s="1231" t="s">
        <v>1153</v>
      </c>
      <c r="D175" s="1145" t="s">
        <v>916</v>
      </c>
      <c r="E175" s="1196"/>
      <c r="F175" s="1141"/>
      <c r="G175" s="1141"/>
    </row>
    <row r="176" spans="2:7" s="1" customFormat="1" x14ac:dyDescent="0.25">
      <c r="B176" s="1226" t="s">
        <v>1206</v>
      </c>
      <c r="C176" s="1227" t="s">
        <v>1207</v>
      </c>
      <c r="D176" s="1227"/>
      <c r="E176" s="1232"/>
      <c r="F176" s="1141"/>
      <c r="G176" s="1141"/>
    </row>
    <row r="177" spans="2:7" s="1" customFormat="1" x14ac:dyDescent="0.25">
      <c r="B177" s="1241" t="s">
        <v>1208</v>
      </c>
      <c r="C177" s="1238" t="s">
        <v>1209</v>
      </c>
      <c r="D177" s="1143" t="s">
        <v>742</v>
      </c>
      <c r="E177" s="1144"/>
      <c r="F177" s="1141"/>
      <c r="G177" s="1141"/>
    </row>
    <row r="178" spans="2:7" s="1" customFormat="1" x14ac:dyDescent="0.25">
      <c r="B178" s="1241" t="s">
        <v>1210</v>
      </c>
      <c r="C178" s="1239" t="s">
        <v>1211</v>
      </c>
      <c r="D178" s="1220" t="s">
        <v>904</v>
      </c>
      <c r="E178" s="1221"/>
      <c r="F178" s="1141"/>
      <c r="G178" s="1141"/>
    </row>
    <row r="179" spans="2:7" s="1" customFormat="1" x14ac:dyDescent="0.25">
      <c r="B179" s="1241" t="s">
        <v>1212</v>
      </c>
      <c r="C179" s="1239" t="s">
        <v>1213</v>
      </c>
      <c r="D179" s="1180" t="s">
        <v>1151</v>
      </c>
      <c r="E179" s="1144"/>
      <c r="F179" s="1141"/>
      <c r="G179" s="1141"/>
    </row>
    <row r="180" spans="2:7" s="1" customFormat="1" x14ac:dyDescent="0.25">
      <c r="B180" s="1241" t="s">
        <v>1214</v>
      </c>
      <c r="C180" s="1239" t="s">
        <v>1215</v>
      </c>
      <c r="D180" s="1180" t="s">
        <v>1151</v>
      </c>
      <c r="E180" s="1144"/>
      <c r="F180" s="1141"/>
      <c r="G180" s="1141"/>
    </row>
    <row r="181" spans="2:7" s="1" customFormat="1" x14ac:dyDescent="0.25">
      <c r="B181" s="1241" t="s">
        <v>1216</v>
      </c>
      <c r="C181" s="1239" t="s">
        <v>1217</v>
      </c>
      <c r="D181" s="1180" t="s">
        <v>1151</v>
      </c>
      <c r="E181" s="1144"/>
      <c r="F181" s="1141"/>
      <c r="G181" s="1141"/>
    </row>
    <row r="182" spans="2:7" s="1" customFormat="1" x14ac:dyDescent="0.25">
      <c r="B182" s="1241" t="s">
        <v>1218</v>
      </c>
      <c r="C182" s="1239" t="s">
        <v>1204</v>
      </c>
      <c r="D182" s="1180" t="s">
        <v>1151</v>
      </c>
      <c r="E182" s="1144"/>
      <c r="F182" s="1141"/>
      <c r="G182" s="1141"/>
    </row>
    <row r="183" spans="2:7" s="1" customFormat="1" ht="15.75" thickBot="1" x14ac:dyDescent="0.3">
      <c r="B183" s="1146" t="s">
        <v>1219</v>
      </c>
      <c r="C183" s="1242" t="s">
        <v>1153</v>
      </c>
      <c r="D183" s="1147" t="s">
        <v>916</v>
      </c>
      <c r="E183" s="1185"/>
      <c r="F183" s="1141"/>
      <c r="G183" s="1141"/>
    </row>
    <row r="184" spans="2:7" s="1" customFormat="1" ht="15.75" thickBot="1" x14ac:dyDescent="0.3">
      <c r="B184" s="1130"/>
      <c r="C184" s="1126" t="s">
        <v>1220</v>
      </c>
      <c r="D184" s="1126"/>
      <c r="E184" s="1131"/>
      <c r="F184" s="1243"/>
      <c r="G184" s="1141"/>
    </row>
    <row r="185" spans="2:7" s="1" customFormat="1" x14ac:dyDescent="0.25">
      <c r="B185" s="1212" t="s">
        <v>1221</v>
      </c>
      <c r="C185" s="1244" t="s">
        <v>1222</v>
      </c>
      <c r="D185" s="1245" t="s">
        <v>916</v>
      </c>
      <c r="E185" s="1246">
        <f>SUM(E186:E190)</f>
        <v>10</v>
      </c>
      <c r="F185" s="1141"/>
      <c r="G185" s="1141"/>
    </row>
    <row r="186" spans="2:7" s="1" customFormat="1" x14ac:dyDescent="0.25">
      <c r="B186" s="1142" t="s">
        <v>1223</v>
      </c>
      <c r="C186" s="1156" t="s">
        <v>1224</v>
      </c>
      <c r="D186" s="1247" t="s">
        <v>916</v>
      </c>
      <c r="E186" s="1153"/>
      <c r="F186" s="1188"/>
      <c r="G186" s="1188"/>
    </row>
    <row r="187" spans="2:7" s="1" customFormat="1" x14ac:dyDescent="0.25">
      <c r="B187" s="1142" t="s">
        <v>1225</v>
      </c>
      <c r="C187" s="1156" t="s">
        <v>1226</v>
      </c>
      <c r="D187" s="1247" t="s">
        <v>916</v>
      </c>
      <c r="E187" s="1153">
        <v>1</v>
      </c>
      <c r="F187" s="1188"/>
      <c r="G187" s="1188"/>
    </row>
    <row r="188" spans="2:7" s="1" customFormat="1" x14ac:dyDescent="0.25">
      <c r="B188" s="1142" t="s">
        <v>1227</v>
      </c>
      <c r="C188" s="1156" t="s">
        <v>1228</v>
      </c>
      <c r="D188" s="1247" t="s">
        <v>916</v>
      </c>
      <c r="E188" s="1153">
        <v>1</v>
      </c>
      <c r="F188" s="1188"/>
      <c r="G188" s="1188"/>
    </row>
    <row r="189" spans="2:7" s="1" customFormat="1" x14ac:dyDescent="0.25">
      <c r="B189" s="1142" t="s">
        <v>1229</v>
      </c>
      <c r="C189" s="1156" t="s">
        <v>1230</v>
      </c>
      <c r="D189" s="1247" t="s">
        <v>916</v>
      </c>
      <c r="E189" s="1153">
        <v>6</v>
      </c>
      <c r="F189" s="1188"/>
      <c r="G189" s="1188"/>
    </row>
    <row r="190" spans="2:7" s="1" customFormat="1" x14ac:dyDescent="0.25">
      <c r="B190" s="1142" t="s">
        <v>1231</v>
      </c>
      <c r="C190" s="1156" t="s">
        <v>1232</v>
      </c>
      <c r="D190" s="1247" t="s">
        <v>916</v>
      </c>
      <c r="E190" s="1183">
        <f>SUM(E191:E195)</f>
        <v>2</v>
      </c>
      <c r="F190" s="1188"/>
      <c r="G190" s="1188"/>
    </row>
    <row r="191" spans="2:7" s="1" customFormat="1" x14ac:dyDescent="0.25">
      <c r="B191" s="1182" t="s">
        <v>1233</v>
      </c>
      <c r="C191" s="1174" t="s">
        <v>1234</v>
      </c>
      <c r="D191" s="1220" t="s">
        <v>916</v>
      </c>
      <c r="E191" s="1184"/>
      <c r="F191" s="1188"/>
      <c r="G191" s="1188"/>
    </row>
    <row r="192" spans="2:7" s="1" customFormat="1" x14ac:dyDescent="0.25">
      <c r="B192" s="1182" t="s">
        <v>1235</v>
      </c>
      <c r="C192" s="1174" t="s">
        <v>1236</v>
      </c>
      <c r="D192" s="1220" t="s">
        <v>916</v>
      </c>
      <c r="E192" s="1184"/>
      <c r="F192" s="1188"/>
      <c r="G192" s="1188"/>
    </row>
    <row r="193" spans="2:7" s="1" customFormat="1" x14ac:dyDescent="0.25">
      <c r="B193" s="1182" t="s">
        <v>1237</v>
      </c>
      <c r="C193" s="1174" t="s">
        <v>1238</v>
      </c>
      <c r="D193" s="1220" t="s">
        <v>916</v>
      </c>
      <c r="E193" s="1184"/>
      <c r="F193" s="1188"/>
      <c r="G193" s="1188"/>
    </row>
    <row r="194" spans="2:7" s="1" customFormat="1" x14ac:dyDescent="0.25">
      <c r="B194" s="1182" t="s">
        <v>1239</v>
      </c>
      <c r="C194" s="1174" t="s">
        <v>1240</v>
      </c>
      <c r="D194" s="1220" t="s">
        <v>916</v>
      </c>
      <c r="E194" s="1184"/>
      <c r="F194" s="1188"/>
      <c r="G194" s="1188"/>
    </row>
    <row r="195" spans="2:7" s="1" customFormat="1" ht="15.75" thickBot="1" x14ac:dyDescent="0.3">
      <c r="B195" s="1248" t="s">
        <v>1241</v>
      </c>
      <c r="C195" s="1249" t="s">
        <v>1242</v>
      </c>
      <c r="D195" s="1250" t="s">
        <v>916</v>
      </c>
      <c r="E195" s="1251">
        <v>2</v>
      </c>
      <c r="F195" s="1252"/>
      <c r="G195" s="1252"/>
    </row>
    <row r="196" spans="2:7" s="1" customFormat="1" x14ac:dyDescent="0.25">
      <c r="B196" s="1253"/>
      <c r="C196" s="1253"/>
      <c r="D196" s="1253"/>
      <c r="E196" s="1254"/>
    </row>
    <row r="197" spans="2:7" s="1" customFormat="1" x14ac:dyDescent="0.25">
      <c r="B197" s="1255" t="s">
        <v>1243</v>
      </c>
      <c r="C197" s="1256" t="s">
        <v>1244</v>
      </c>
    </row>
    <row r="198" spans="2:7" s="1" customFormat="1" x14ac:dyDescent="0.25">
      <c r="B198" s="1257" t="s">
        <v>1245</v>
      </c>
      <c r="C198" s="1256" t="s">
        <v>1246</v>
      </c>
    </row>
    <row r="199" spans="2:7" s="1" customFormat="1" x14ac:dyDescent="0.25">
      <c r="C199" s="1258"/>
    </row>
    <row r="200" spans="2:7" s="1" customFormat="1" x14ac:dyDescent="0.25">
      <c r="B200" s="1259"/>
    </row>
    <row r="201" spans="2:7" s="1" customFormat="1" x14ac:dyDescent="0.25">
      <c r="B201" s="1259"/>
      <c r="C201" s="1260"/>
    </row>
  </sheetData>
  <sheetProtection algorithmName="SHA-512" hashValue="eozlmsF8OJKKAHMUCmN+vV/+fGDsvLn7u80EZ4TJibmaD/mwnLVwGuT1Op9p88liUJqmcWx1H9e/UUM1K7Cjhw==" saltValue="VoGXhJsr/hu5QG7q2p3J94sl/BDEf+JHuBZtejiMfnY1OIFSQehALCzG1bHXVyZPgCnQHij2SWO9+xqe5EH8SQ=="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opLeftCell="A13" zoomScale="93" zoomScaleNormal="93" workbookViewId="0">
      <selection activeCell="E29" sqref="E29"/>
    </sheetView>
  </sheetViews>
  <sheetFormatPr defaultRowHeight="15" x14ac:dyDescent="0.2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x14ac:dyDescent="0.25">
      <c r="A1" s="1375" t="s">
        <v>0</v>
      </c>
      <c r="B1" s="1376"/>
      <c r="C1" s="1376"/>
      <c r="D1" s="1377"/>
    </row>
    <row r="2" spans="1:4" s="1" customFormat="1" x14ac:dyDescent="0.25">
      <c r="A2" s="1375" t="s">
        <v>1</v>
      </c>
      <c r="B2" s="1376"/>
      <c r="C2" s="1376"/>
      <c r="D2" s="1377"/>
    </row>
    <row r="3" spans="1:4" s="1" customFormat="1" x14ac:dyDescent="0.25">
      <c r="A3" s="1378"/>
      <c r="B3" s="1379"/>
      <c r="C3" s="1379"/>
      <c r="D3" s="1380"/>
    </row>
    <row r="4" spans="1:4" s="1" customFormat="1" x14ac:dyDescent="0.25">
      <c r="A4" s="32"/>
      <c r="B4" s="32"/>
      <c r="C4" s="32"/>
      <c r="D4" s="32"/>
    </row>
    <row r="5" spans="1:4" s="1" customFormat="1" x14ac:dyDescent="0.25">
      <c r="A5" s="1381" t="s">
        <v>44</v>
      </c>
      <c r="B5" s="1382"/>
      <c r="C5" s="1382"/>
      <c r="D5" s="1383"/>
    </row>
    <row r="6" spans="1:4" s="1" customFormat="1" x14ac:dyDescent="0.25">
      <c r="A6" s="1373" t="s">
        <v>45</v>
      </c>
      <c r="B6" s="1374"/>
      <c r="C6" s="1374"/>
      <c r="D6" s="1374"/>
    </row>
    <row r="7" spans="1:4" s="1" customFormat="1" x14ac:dyDescent="0.25">
      <c r="A7" s="1374"/>
      <c r="B7" s="1374"/>
      <c r="C7" s="1374"/>
      <c r="D7" s="1374"/>
    </row>
    <row r="8" spans="1:4" s="1" customFormat="1" x14ac:dyDescent="0.25">
      <c r="A8" s="32"/>
      <c r="B8" s="32"/>
      <c r="C8" s="32"/>
      <c r="D8" s="32"/>
    </row>
    <row r="9" spans="1:4" s="1" customFormat="1" ht="48.75" customHeight="1" thickBot="1" x14ac:dyDescent="0.3">
      <c r="B9" s="1372" t="s">
        <v>46</v>
      </c>
      <c r="C9" s="1372"/>
      <c r="D9" s="1372"/>
    </row>
    <row r="10" spans="1:4" s="1" customFormat="1" ht="35.25" customHeight="1" thickBot="1" x14ac:dyDescent="0.3">
      <c r="B10" s="33" t="s">
        <v>47</v>
      </c>
      <c r="C10" s="33" t="s">
        <v>48</v>
      </c>
      <c r="D10" s="34" t="s">
        <v>49</v>
      </c>
    </row>
    <row r="11" spans="1:4" s="1" customFormat="1" ht="15.75" thickBot="1" x14ac:dyDescent="0.3">
      <c r="B11" s="35"/>
      <c r="C11" s="33" t="s">
        <v>50</v>
      </c>
      <c r="D11" s="36"/>
    </row>
    <row r="12" spans="1:4" s="1" customFormat="1" x14ac:dyDescent="0.25">
      <c r="B12" s="37" t="s">
        <v>51</v>
      </c>
      <c r="C12" s="37" t="s">
        <v>52</v>
      </c>
      <c r="D12" s="38">
        <v>10318.805</v>
      </c>
    </row>
    <row r="13" spans="1:4" s="1" customFormat="1" x14ac:dyDescent="0.25">
      <c r="B13" s="39" t="s">
        <v>53</v>
      </c>
      <c r="C13" s="39" t="s">
        <v>54</v>
      </c>
      <c r="D13" s="38">
        <v>488.947</v>
      </c>
    </row>
    <row r="14" spans="1:4" s="1" customFormat="1" ht="17.25" customHeight="1" x14ac:dyDescent="0.25">
      <c r="B14" s="39" t="s">
        <v>55</v>
      </c>
      <c r="C14" s="39" t="s">
        <v>56</v>
      </c>
      <c r="D14" s="38">
        <v>56.912999999999997</v>
      </c>
    </row>
    <row r="15" spans="1:4" s="1" customFormat="1" x14ac:dyDescent="0.25">
      <c r="B15" s="39" t="s">
        <v>57</v>
      </c>
      <c r="C15" s="39" t="s">
        <v>58</v>
      </c>
      <c r="D15" s="38">
        <v>39.174999999999997</v>
      </c>
    </row>
    <row r="16" spans="1:4" s="1" customFormat="1" ht="20.25" customHeight="1" thickBot="1" x14ac:dyDescent="0.3">
      <c r="B16" s="40" t="s">
        <v>59</v>
      </c>
      <c r="C16" s="40" t="s">
        <v>60</v>
      </c>
      <c r="D16" s="38">
        <v>1.5669999999999999</v>
      </c>
    </row>
    <row r="17" spans="2:5" s="1" customFormat="1" ht="16.5" thickTop="1" thickBot="1" x14ac:dyDescent="0.3">
      <c r="B17" s="41"/>
      <c r="C17" s="41" t="s">
        <v>61</v>
      </c>
      <c r="D17" s="42">
        <f>SUM(D12:D13,D16)</f>
        <v>10809.319</v>
      </c>
      <c r="E17" s="43"/>
    </row>
    <row r="18" spans="2:5" s="1" customFormat="1" ht="15.75" thickBot="1" x14ac:dyDescent="0.3">
      <c r="B18" s="33"/>
      <c r="C18" s="33" t="s">
        <v>62</v>
      </c>
      <c r="D18" s="44"/>
    </row>
    <row r="19" spans="2:5" s="1" customFormat="1" x14ac:dyDescent="0.25">
      <c r="B19" s="37" t="s">
        <v>63</v>
      </c>
      <c r="C19" s="37" t="s">
        <v>64</v>
      </c>
      <c r="D19" s="38">
        <v>1298.903</v>
      </c>
    </row>
    <row r="20" spans="2:5" s="1" customFormat="1" x14ac:dyDescent="0.25">
      <c r="B20" s="39" t="s">
        <v>65</v>
      </c>
      <c r="C20" s="39" t="s">
        <v>66</v>
      </c>
      <c r="D20" s="38">
        <v>1339.4870000000001</v>
      </c>
    </row>
    <row r="21" spans="2:5" s="1" customFormat="1" ht="21" customHeight="1" x14ac:dyDescent="0.25">
      <c r="B21" s="39" t="s">
        <v>67</v>
      </c>
      <c r="C21" s="39" t="s">
        <v>68</v>
      </c>
      <c r="D21" s="38"/>
    </row>
    <row r="22" spans="2:5" s="1" customFormat="1" x14ac:dyDescent="0.25">
      <c r="B22" s="39" t="s">
        <v>69</v>
      </c>
      <c r="C22" s="39" t="s">
        <v>70</v>
      </c>
      <c r="D22" s="38">
        <v>1.6E-2</v>
      </c>
    </row>
    <row r="23" spans="2:5" s="1" customFormat="1" x14ac:dyDescent="0.25">
      <c r="B23" s="39" t="s">
        <v>71</v>
      </c>
      <c r="C23" s="39" t="s">
        <v>72</v>
      </c>
      <c r="D23" s="38"/>
    </row>
    <row r="24" spans="2:5" s="1" customFormat="1" x14ac:dyDescent="0.25">
      <c r="B24" s="39" t="s">
        <v>73</v>
      </c>
      <c r="C24" s="39" t="s">
        <v>74</v>
      </c>
      <c r="D24" s="38"/>
    </row>
    <row r="25" spans="2:5" s="1" customFormat="1" x14ac:dyDescent="0.25">
      <c r="B25" s="39" t="s">
        <v>75</v>
      </c>
      <c r="C25" s="39" t="s">
        <v>76</v>
      </c>
      <c r="D25" s="38">
        <v>-40.6</v>
      </c>
    </row>
    <row r="26" spans="2:5" s="1" customFormat="1" x14ac:dyDescent="0.25">
      <c r="B26" s="39" t="s">
        <v>77</v>
      </c>
      <c r="C26" s="39" t="s">
        <v>78</v>
      </c>
      <c r="D26" s="38">
        <v>9411.44</v>
      </c>
    </row>
    <row r="27" spans="2:5" s="1" customFormat="1" x14ac:dyDescent="0.25">
      <c r="B27" s="39" t="s">
        <v>79</v>
      </c>
      <c r="C27" s="39" t="s">
        <v>80</v>
      </c>
      <c r="D27" s="38"/>
    </row>
    <row r="28" spans="2:5" s="1" customFormat="1" ht="16.5" customHeight="1" x14ac:dyDescent="0.25">
      <c r="B28" s="39" t="s">
        <v>81</v>
      </c>
      <c r="C28" s="39" t="s">
        <v>82</v>
      </c>
      <c r="D28" s="38">
        <v>98.975999999999999</v>
      </c>
    </row>
    <row r="29" spans="2:5" s="1" customFormat="1" ht="25.5" customHeight="1" x14ac:dyDescent="0.25">
      <c r="B29" s="39" t="s">
        <v>83</v>
      </c>
      <c r="C29" s="39" t="s">
        <v>84</v>
      </c>
      <c r="D29" s="38"/>
    </row>
    <row r="30" spans="2:5" s="1" customFormat="1" ht="26.25" customHeight="1" x14ac:dyDescent="0.25">
      <c r="B30" s="39" t="s">
        <v>85</v>
      </c>
      <c r="C30" s="39" t="s">
        <v>86</v>
      </c>
      <c r="D30" s="38">
        <v>98.975999999999999</v>
      </c>
    </row>
    <row r="31" spans="2:5" s="1" customFormat="1" ht="27" customHeight="1" thickBot="1" x14ac:dyDescent="0.3">
      <c r="B31" s="40" t="s">
        <v>87</v>
      </c>
      <c r="C31" s="40" t="s">
        <v>88</v>
      </c>
      <c r="D31" s="38"/>
    </row>
    <row r="32" spans="2:5" s="1" customFormat="1" ht="21" customHeight="1" thickTop="1" thickBot="1" x14ac:dyDescent="0.3">
      <c r="B32" s="41"/>
      <c r="C32" s="41" t="s">
        <v>89</v>
      </c>
      <c r="D32" s="42">
        <f>SUM(D19,D26:D28,D31)</f>
        <v>10809.319000000001</v>
      </c>
      <c r="E32" s="43"/>
    </row>
  </sheetData>
  <sheetProtection algorithmName="SHA-512" hashValue="4gxQ724YOquJt8hH8SpUooINX883yNBdZX48Vc/beXiZoZxNPDDB6e8SyD65c3CHT7iEhw1fbqr2TxMWc1rA9A==" saltValue="6n8JdesU0LVmW7zGfs2gu3mjSnZyqdFtFTb1tRhfFYpcSgTivksm8YNEvJFcoeNuFfLg4z2DyUb4iBPVlndXwA=="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topLeftCell="A26" zoomScale="112" zoomScaleNormal="112" workbookViewId="0">
      <selection activeCell="G32" sqref="F32:G32"/>
    </sheetView>
  </sheetViews>
  <sheetFormatPr defaultColWidth="9.140625" defaultRowHeight="15" x14ac:dyDescent="0.2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x14ac:dyDescent="0.25">
      <c r="A1" s="1384" t="s">
        <v>0</v>
      </c>
      <c r="B1" s="1385"/>
      <c r="C1" s="1385"/>
      <c r="D1" s="1385"/>
      <c r="E1" s="1385"/>
      <c r="F1" s="1385"/>
      <c r="G1" s="1385"/>
      <c r="H1" s="1385"/>
      <c r="I1" s="1385"/>
      <c r="J1" s="1385"/>
      <c r="K1" s="1385"/>
      <c r="L1" s="1386"/>
    </row>
    <row r="2" spans="1:12" s="1" customFormat="1" x14ac:dyDescent="0.25">
      <c r="A2" s="1384" t="s">
        <v>1</v>
      </c>
      <c r="B2" s="1385"/>
      <c r="C2" s="1385"/>
      <c r="D2" s="1385"/>
      <c r="E2" s="1385"/>
      <c r="F2" s="1385"/>
      <c r="G2" s="1385"/>
      <c r="H2" s="1385"/>
      <c r="I2" s="1385"/>
      <c r="J2" s="1385"/>
      <c r="K2" s="1385"/>
      <c r="L2" s="1386"/>
    </row>
    <row r="3" spans="1:12" s="1" customFormat="1" x14ac:dyDescent="0.25">
      <c r="A3" s="1387"/>
      <c r="B3" s="1388"/>
      <c r="C3" s="1388"/>
      <c r="D3" s="1388"/>
      <c r="E3" s="1388"/>
      <c r="F3" s="1388"/>
      <c r="G3" s="1388"/>
      <c r="H3" s="1388"/>
      <c r="I3" s="1388"/>
      <c r="J3" s="1388"/>
      <c r="K3" s="1388"/>
      <c r="L3" s="1389"/>
    </row>
    <row r="4" spans="1:12" s="1" customFormat="1" x14ac:dyDescent="0.25">
      <c r="A4" s="47"/>
      <c r="B4" s="47"/>
      <c r="C4" s="47"/>
      <c r="D4" s="47"/>
      <c r="E4" s="47"/>
      <c r="F4" s="47"/>
      <c r="G4" s="48"/>
      <c r="H4" s="48"/>
      <c r="I4" s="47"/>
      <c r="J4" s="47"/>
      <c r="K4" s="47"/>
      <c r="L4" s="47"/>
    </row>
    <row r="5" spans="1:12" s="1" customFormat="1" x14ac:dyDescent="0.25">
      <c r="A5" s="1390" t="s">
        <v>90</v>
      </c>
      <c r="B5" s="1391"/>
      <c r="C5" s="1391"/>
      <c r="D5" s="1391"/>
      <c r="E5" s="1391"/>
      <c r="F5" s="1391"/>
      <c r="G5" s="1391"/>
      <c r="H5" s="1391"/>
      <c r="I5" s="1391"/>
      <c r="J5" s="1391"/>
      <c r="K5" s="1391"/>
      <c r="L5" s="1392"/>
    </row>
    <row r="6" spans="1:12" s="1" customFormat="1" x14ac:dyDescent="0.25">
      <c r="A6" s="47"/>
      <c r="B6" s="47"/>
      <c r="C6" s="47"/>
      <c r="D6" s="47"/>
      <c r="E6" s="47"/>
      <c r="F6" s="47"/>
      <c r="G6" s="48"/>
      <c r="H6" s="48"/>
      <c r="I6" s="47"/>
      <c r="J6" s="47"/>
      <c r="K6" s="47"/>
      <c r="L6" s="47"/>
    </row>
    <row r="8" spans="1:12" s="1" customFormat="1" ht="19.5" customHeight="1" thickBot="1" x14ac:dyDescent="0.3">
      <c r="B8" s="1362" t="s">
        <v>91</v>
      </c>
      <c r="C8" s="1362"/>
      <c r="D8" s="1362"/>
      <c r="E8" s="1362"/>
    </row>
    <row r="9" spans="1:12" s="1" customFormat="1" ht="15.75" thickBot="1" x14ac:dyDescent="0.3">
      <c r="B9" s="49" t="s">
        <v>4</v>
      </c>
      <c r="C9" s="50" t="s">
        <v>92</v>
      </c>
      <c r="D9" s="51" t="s">
        <v>49</v>
      </c>
      <c r="E9" s="52" t="s">
        <v>93</v>
      </c>
    </row>
    <row r="10" spans="1:12" s="1" customFormat="1" ht="15.75" thickBot="1" x14ac:dyDescent="0.3">
      <c r="B10" s="53" t="s">
        <v>7</v>
      </c>
      <c r="C10" s="54" t="s">
        <v>94</v>
      </c>
      <c r="D10" s="55"/>
      <c r="E10" s="56"/>
    </row>
    <row r="11" spans="1:12" s="1" customFormat="1" ht="24.75" thickBot="1" x14ac:dyDescent="0.3">
      <c r="B11" s="53" t="s">
        <v>51</v>
      </c>
      <c r="C11" s="54" t="s">
        <v>95</v>
      </c>
      <c r="D11" s="57">
        <f>D12+D15+D27+D31</f>
        <v>772.8605</v>
      </c>
      <c r="E11" s="58"/>
      <c r="I11" s="59"/>
    </row>
    <row r="12" spans="1:12" s="1" customFormat="1" x14ac:dyDescent="0.25">
      <c r="B12" s="60" t="s">
        <v>96</v>
      </c>
      <c r="C12" s="61" t="s">
        <v>97</v>
      </c>
      <c r="D12" s="62">
        <f>SUM(D13:D14)</f>
        <v>435.90998999999999</v>
      </c>
      <c r="E12" s="63"/>
    </row>
    <row r="13" spans="1:12" s="1" customFormat="1" x14ac:dyDescent="0.25">
      <c r="B13" s="64" t="s">
        <v>98</v>
      </c>
      <c r="C13" s="65" t="s">
        <v>99</v>
      </c>
      <c r="D13" s="1261">
        <v>434.07362000000001</v>
      </c>
      <c r="E13" s="67"/>
    </row>
    <row r="14" spans="1:12" s="1" customFormat="1" ht="15.75" thickBot="1" x14ac:dyDescent="0.3">
      <c r="B14" s="68" t="s">
        <v>100</v>
      </c>
      <c r="C14" s="69" t="s">
        <v>101</v>
      </c>
      <c r="D14" s="1262">
        <v>1.8363700000000001</v>
      </c>
      <c r="E14" s="71"/>
    </row>
    <row r="15" spans="1:12" s="1" customFormat="1" x14ac:dyDescent="0.25">
      <c r="B15" s="60" t="s">
        <v>102</v>
      </c>
      <c r="C15" s="61" t="s">
        <v>103</v>
      </c>
      <c r="D15" s="62">
        <f>D16+D19+D23</f>
        <v>295.13709</v>
      </c>
      <c r="E15" s="63"/>
    </row>
    <row r="16" spans="1:12" s="1" customFormat="1" ht="17.25" customHeight="1" x14ac:dyDescent="0.25">
      <c r="B16" s="72" t="s">
        <v>104</v>
      </c>
      <c r="C16" s="73" t="s">
        <v>105</v>
      </c>
      <c r="D16" s="74">
        <f>IFERROR(SUM(D17:D18)+D28*(D45/D44), 0)</f>
        <v>105.48121</v>
      </c>
      <c r="E16" s="67"/>
    </row>
    <row r="17" spans="2:12" s="1" customFormat="1" x14ac:dyDescent="0.25">
      <c r="B17" s="64" t="s">
        <v>106</v>
      </c>
      <c r="C17" s="65" t="s">
        <v>107</v>
      </c>
      <c r="D17" s="1263">
        <v>105.41612000000001</v>
      </c>
      <c r="E17" s="67"/>
    </row>
    <row r="18" spans="2:12" s="1" customFormat="1" x14ac:dyDescent="0.25">
      <c r="B18" s="64" t="s">
        <v>108</v>
      </c>
      <c r="C18" s="65" t="s">
        <v>101</v>
      </c>
      <c r="D18" s="1263">
        <v>6.5089999999999995E-2</v>
      </c>
      <c r="E18" s="67"/>
      <c r="L18" s="45" t="s">
        <v>109</v>
      </c>
    </row>
    <row r="19" spans="2:12" s="1" customFormat="1" x14ac:dyDescent="0.25">
      <c r="B19" s="72" t="s">
        <v>110</v>
      </c>
      <c r="C19" s="73" t="s">
        <v>111</v>
      </c>
      <c r="D19" s="74">
        <f>IFERROR(SUM(D20:D22)+D28*(D46/D44), 0)</f>
        <v>125.72465</v>
      </c>
      <c r="E19" s="67"/>
    </row>
    <row r="20" spans="2:12" s="1" customFormat="1" x14ac:dyDescent="0.25">
      <c r="B20" s="64" t="s">
        <v>112</v>
      </c>
      <c r="C20" s="65" t="s">
        <v>113</v>
      </c>
      <c r="D20" s="1264">
        <v>125.71392</v>
      </c>
      <c r="E20" s="67"/>
    </row>
    <row r="21" spans="2:12" s="1" customFormat="1" x14ac:dyDescent="0.25">
      <c r="B21" s="64" t="s">
        <v>114</v>
      </c>
      <c r="C21" s="65" t="s">
        <v>115</v>
      </c>
      <c r="D21" s="1264"/>
      <c r="E21" s="67"/>
    </row>
    <row r="22" spans="2:12" s="1" customFormat="1" x14ac:dyDescent="0.25">
      <c r="B22" s="64" t="s">
        <v>116</v>
      </c>
      <c r="C22" s="65" t="s">
        <v>101</v>
      </c>
      <c r="D22" s="1264">
        <v>1.073E-2</v>
      </c>
      <c r="E22" s="67"/>
    </row>
    <row r="23" spans="2:12" s="1" customFormat="1" x14ac:dyDescent="0.25">
      <c r="B23" s="72" t="s">
        <v>117</v>
      </c>
      <c r="C23" s="73" t="s">
        <v>118</v>
      </c>
      <c r="D23" s="74">
        <f>IFERROR(SUM(D24:D26)+D28*(D47/D44), 0)</f>
        <v>63.931229999999999</v>
      </c>
      <c r="E23" s="67"/>
    </row>
    <row r="24" spans="2:12" s="1" customFormat="1" x14ac:dyDescent="0.25">
      <c r="B24" s="64" t="s">
        <v>119</v>
      </c>
      <c r="C24" s="65" t="s">
        <v>120</v>
      </c>
      <c r="D24" s="1265">
        <v>63.929139999999997</v>
      </c>
      <c r="E24" s="67"/>
    </row>
    <row r="25" spans="2:12" s="1" customFormat="1" x14ac:dyDescent="0.25">
      <c r="B25" s="64" t="s">
        <v>121</v>
      </c>
      <c r="C25" s="65" t="s">
        <v>122</v>
      </c>
      <c r="D25" s="1265"/>
      <c r="E25" s="67"/>
    </row>
    <row r="26" spans="2:12" s="1" customFormat="1" ht="15.75" thickBot="1" x14ac:dyDescent="0.3">
      <c r="B26" s="68" t="s">
        <v>123</v>
      </c>
      <c r="C26" s="69" t="s">
        <v>101</v>
      </c>
      <c r="D26" s="1266">
        <v>2.0899999999999998E-3</v>
      </c>
      <c r="E26" s="71"/>
    </row>
    <row r="27" spans="2:12" s="1" customFormat="1" x14ac:dyDescent="0.25">
      <c r="B27" s="60" t="s">
        <v>124</v>
      </c>
      <c r="C27" s="61" t="s">
        <v>125</v>
      </c>
      <c r="D27" s="75">
        <f>SUM(D29+D30)</f>
        <v>0</v>
      </c>
      <c r="E27" s="63"/>
    </row>
    <row r="28" spans="2:12" s="1" customFormat="1" x14ac:dyDescent="0.25">
      <c r="B28" s="64" t="s">
        <v>126</v>
      </c>
      <c r="C28" s="65" t="s">
        <v>127</v>
      </c>
      <c r="D28" s="66"/>
      <c r="E28" s="67"/>
    </row>
    <row r="29" spans="2:12" s="1" customFormat="1" ht="24" x14ac:dyDescent="0.25">
      <c r="B29" s="64" t="s">
        <v>128</v>
      </c>
      <c r="C29" s="65" t="s">
        <v>129</v>
      </c>
      <c r="D29" s="66"/>
      <c r="E29" s="67"/>
    </row>
    <row r="30" spans="2:12" s="1" customFormat="1" ht="15.75" thickBot="1" x14ac:dyDescent="0.3">
      <c r="B30" s="64" t="s">
        <v>130</v>
      </c>
      <c r="C30" s="69" t="s">
        <v>101</v>
      </c>
      <c r="D30" s="70"/>
      <c r="E30" s="71"/>
    </row>
    <row r="31" spans="2:12" s="1" customFormat="1" x14ac:dyDescent="0.25">
      <c r="B31" s="60" t="s">
        <v>131</v>
      </c>
      <c r="C31" s="61" t="s">
        <v>132</v>
      </c>
      <c r="D31" s="62">
        <f>SUM(D32:D33)</f>
        <v>41.813420000000001</v>
      </c>
      <c r="E31" s="63"/>
    </row>
    <row r="32" spans="2:12" s="1" customFormat="1" ht="24" x14ac:dyDescent="0.25">
      <c r="B32" s="64" t="s">
        <v>133</v>
      </c>
      <c r="C32" s="65" t="s">
        <v>134</v>
      </c>
      <c r="D32" s="1267">
        <v>41.813420000000001</v>
      </c>
      <c r="E32" s="67"/>
    </row>
    <row r="33" spans="2:9" s="1" customFormat="1" ht="15.75" thickBot="1" x14ac:dyDescent="0.3">
      <c r="B33" s="68" t="s">
        <v>135</v>
      </c>
      <c r="C33" s="69" t="s">
        <v>101</v>
      </c>
      <c r="D33" s="70"/>
      <c r="E33" s="71"/>
    </row>
    <row r="34" spans="2:9" s="1" customFormat="1" x14ac:dyDescent="0.25">
      <c r="B34" s="60" t="s">
        <v>53</v>
      </c>
      <c r="C34" s="76" t="s">
        <v>136</v>
      </c>
      <c r="D34" s="62">
        <f>D35+D38</f>
        <v>5.8352599999999999</v>
      </c>
      <c r="E34" s="63"/>
    </row>
    <row r="35" spans="2:9" s="1" customFormat="1" x14ac:dyDescent="0.25">
      <c r="B35" s="72" t="s">
        <v>55</v>
      </c>
      <c r="C35" s="73" t="s">
        <v>137</v>
      </c>
      <c r="D35" s="74">
        <f>SUM(D36:D37)</f>
        <v>0</v>
      </c>
      <c r="E35" s="67"/>
    </row>
    <row r="36" spans="2:9" s="1" customFormat="1" x14ac:dyDescent="0.25">
      <c r="B36" s="64" t="s">
        <v>138</v>
      </c>
      <c r="C36" s="65" t="s">
        <v>139</v>
      </c>
      <c r="D36" s="66"/>
      <c r="E36" s="67"/>
    </row>
    <row r="37" spans="2:9" s="1" customFormat="1" x14ac:dyDescent="0.25">
      <c r="B37" s="64" t="s">
        <v>140</v>
      </c>
      <c r="C37" s="65" t="s">
        <v>101</v>
      </c>
      <c r="D37" s="66"/>
      <c r="E37" s="67"/>
    </row>
    <row r="38" spans="2:9" s="1" customFormat="1" x14ac:dyDescent="0.25">
      <c r="B38" s="72" t="s">
        <v>141</v>
      </c>
      <c r="C38" s="73" t="s">
        <v>142</v>
      </c>
      <c r="D38" s="74">
        <f>SUM(D39:D40)</f>
        <v>5.8352599999999999</v>
      </c>
      <c r="E38" s="67"/>
    </row>
    <row r="39" spans="2:9" s="1" customFormat="1" x14ac:dyDescent="0.25">
      <c r="B39" s="64" t="s">
        <v>143</v>
      </c>
      <c r="C39" s="65" t="s">
        <v>144</v>
      </c>
      <c r="D39" s="1269">
        <v>3.9209800000000001</v>
      </c>
      <c r="E39" s="67"/>
    </row>
    <row r="40" spans="2:9" s="1" customFormat="1" ht="15.75" thickBot="1" x14ac:dyDescent="0.3">
      <c r="B40" s="68" t="s">
        <v>145</v>
      </c>
      <c r="C40" s="69" t="s">
        <v>101</v>
      </c>
      <c r="D40" s="1268">
        <v>1.91428</v>
      </c>
      <c r="E40" s="71"/>
    </row>
    <row r="41" spans="2:9" s="1" customFormat="1" ht="15.75" thickBot="1" x14ac:dyDescent="0.3">
      <c r="B41" s="77" t="s">
        <v>146</v>
      </c>
      <c r="C41" s="78" t="s">
        <v>147</v>
      </c>
      <c r="D41" s="79">
        <f>D42+D50</f>
        <v>826.00505999999984</v>
      </c>
      <c r="E41" s="80" t="s">
        <v>148</v>
      </c>
      <c r="F41" s="81"/>
      <c r="I41" s="59"/>
    </row>
    <row r="42" spans="2:9" s="1" customFormat="1" ht="24" x14ac:dyDescent="0.25">
      <c r="B42" s="60" t="s">
        <v>59</v>
      </c>
      <c r="C42" s="76" t="s">
        <v>149</v>
      </c>
      <c r="D42" s="82">
        <f>D43+D44+D48+D49</f>
        <v>823.28701146827757</v>
      </c>
      <c r="E42" s="63" t="s">
        <v>148</v>
      </c>
      <c r="F42" s="81"/>
      <c r="I42" s="59"/>
    </row>
    <row r="43" spans="2:9" s="1" customFormat="1" x14ac:dyDescent="0.25">
      <c r="B43" s="64" t="s">
        <v>150</v>
      </c>
      <c r="C43" s="83" t="s">
        <v>151</v>
      </c>
      <c r="D43" s="84">
        <f>VAS073_F_Visospaskirsto13IsViso</f>
        <v>360.60079384675618</v>
      </c>
      <c r="E43" s="67" t="s">
        <v>148</v>
      </c>
    </row>
    <row r="44" spans="2:9" s="1" customFormat="1" x14ac:dyDescent="0.25">
      <c r="B44" s="64" t="s">
        <v>152</v>
      </c>
      <c r="C44" s="83" t="s">
        <v>153</v>
      </c>
      <c r="D44" s="84">
        <f>VAS073_F_Visospaskirsto14IsViso</f>
        <v>424.39015481636773</v>
      </c>
      <c r="E44" s="67" t="s">
        <v>148</v>
      </c>
    </row>
    <row r="45" spans="2:9" s="2" customFormat="1" x14ac:dyDescent="0.25">
      <c r="B45" s="85" t="s">
        <v>154</v>
      </c>
      <c r="C45" s="86" t="s">
        <v>155</v>
      </c>
      <c r="D45" s="87">
        <f>VAS073_F_Visospaskirsto141NuotekuSurinkimas</f>
        <v>215.31290703399659</v>
      </c>
      <c r="E45" s="88" t="s">
        <v>148</v>
      </c>
      <c r="G45" s="89"/>
      <c r="H45" s="89"/>
    </row>
    <row r="46" spans="2:9" s="2" customFormat="1" x14ac:dyDescent="0.25">
      <c r="B46" s="85" t="s">
        <v>156</v>
      </c>
      <c r="C46" s="86" t="s">
        <v>157</v>
      </c>
      <c r="D46" s="87">
        <f>VAS073_F_Visospaskirsto142NuotekuValymas</f>
        <v>157.09859802928614</v>
      </c>
      <c r="E46" s="88" t="s">
        <v>148</v>
      </c>
      <c r="G46" s="89"/>
      <c r="H46" s="89"/>
    </row>
    <row r="47" spans="2:9" s="2" customFormat="1" x14ac:dyDescent="0.25">
      <c r="B47" s="85" t="s">
        <v>158</v>
      </c>
      <c r="C47" s="86" t="s">
        <v>159</v>
      </c>
      <c r="D47" s="87">
        <f>VAS073_F_Visospaskirsto143NuotekuDumblo</f>
        <v>51.978649753085051</v>
      </c>
      <c r="E47" s="88" t="s">
        <v>148</v>
      </c>
      <c r="G47" s="89"/>
      <c r="H47" s="89"/>
    </row>
    <row r="48" spans="2:9" s="1" customFormat="1" x14ac:dyDescent="0.25">
      <c r="B48" s="68" t="s">
        <v>160</v>
      </c>
      <c r="C48" s="83" t="s">
        <v>161</v>
      </c>
      <c r="D48" s="84">
        <f>VAS073_F_Visospaskirsto15PavirsiniuNuoteku</f>
        <v>0</v>
      </c>
      <c r="E48" s="67" t="s">
        <v>148</v>
      </c>
    </row>
    <row r="49" spans="2:9" s="1" customFormat="1" ht="15.75" thickBot="1" x14ac:dyDescent="0.3">
      <c r="B49" s="68" t="s">
        <v>162</v>
      </c>
      <c r="C49" s="90" t="s">
        <v>163</v>
      </c>
      <c r="D49" s="91">
        <f>VAS073_F_Visospaskirsto12ApskaitosVeikla</f>
        <v>38.296062805153774</v>
      </c>
      <c r="E49" s="71" t="s">
        <v>148</v>
      </c>
    </row>
    <row r="50" spans="2:9" s="1" customFormat="1" x14ac:dyDescent="0.25">
      <c r="B50" s="60" t="s">
        <v>63</v>
      </c>
      <c r="C50" s="76" t="s">
        <v>164</v>
      </c>
      <c r="D50" s="82">
        <f>SUM(D51:D52)</f>
        <v>2.718048531722288</v>
      </c>
      <c r="E50" s="63" t="s">
        <v>148</v>
      </c>
      <c r="I50" s="59"/>
    </row>
    <row r="51" spans="2:9" s="1" customFormat="1" x14ac:dyDescent="0.25">
      <c r="B51" s="64" t="s">
        <v>65</v>
      </c>
      <c r="C51" s="83" t="s">
        <v>165</v>
      </c>
      <c r="D51" s="84">
        <f>VAS073_F_Visospaskirsto16KitosReguliuojamosios</f>
        <v>0</v>
      </c>
      <c r="E51" s="67" t="s">
        <v>148</v>
      </c>
      <c r="G51" s="92"/>
      <c r="H51" s="92"/>
    </row>
    <row r="52" spans="2:9" s="1" customFormat="1" ht="15.75" thickBot="1" x14ac:dyDescent="0.3">
      <c r="B52" s="68" t="s">
        <v>69</v>
      </c>
      <c r="C52" s="90" t="s">
        <v>166</v>
      </c>
      <c r="D52" s="91">
        <f>VAS073_F_Visospaskirsto17KitosVeiklos</f>
        <v>2.718048531722288</v>
      </c>
      <c r="E52" s="71" t="s">
        <v>148</v>
      </c>
    </row>
    <row r="53" spans="2:9" s="1" customFormat="1" x14ac:dyDescent="0.25">
      <c r="B53" s="60" t="s">
        <v>167</v>
      </c>
      <c r="C53" s="93" t="s">
        <v>168</v>
      </c>
      <c r="D53" s="82">
        <f>SUM(D54:D73)</f>
        <v>324.55325999999997</v>
      </c>
      <c r="E53" s="63"/>
      <c r="I53" s="59"/>
    </row>
    <row r="54" spans="2:9" s="1" customFormat="1" x14ac:dyDescent="0.25">
      <c r="B54" s="94" t="s">
        <v>169</v>
      </c>
      <c r="C54" s="95" t="s">
        <v>170</v>
      </c>
      <c r="D54" s="1335">
        <v>0.80959999999999999</v>
      </c>
      <c r="E54" s="97"/>
    </row>
    <row r="55" spans="2:9" s="1" customFormat="1" ht="51.75" x14ac:dyDescent="0.25">
      <c r="B55" s="98" t="s">
        <v>171</v>
      </c>
      <c r="C55" s="95" t="s">
        <v>172</v>
      </c>
      <c r="D55" s="1335">
        <v>1.2956799999999999</v>
      </c>
      <c r="E55" s="97"/>
      <c r="G55" s="92"/>
      <c r="H55" s="92"/>
    </row>
    <row r="56" spans="2:9" s="1" customFormat="1" x14ac:dyDescent="0.25">
      <c r="B56" s="98" t="s">
        <v>173</v>
      </c>
      <c r="C56" s="95" t="s">
        <v>174</v>
      </c>
      <c r="D56" s="1335"/>
      <c r="E56" s="97"/>
    </row>
    <row r="57" spans="2:9" s="1" customFormat="1" ht="30.75" customHeight="1" x14ac:dyDescent="0.25">
      <c r="B57" s="98" t="s">
        <v>175</v>
      </c>
      <c r="C57" s="95" t="s">
        <v>176</v>
      </c>
      <c r="D57" s="1335">
        <v>1.15964</v>
      </c>
      <c r="E57" s="97"/>
    </row>
    <row r="58" spans="2:9" s="1" customFormat="1" x14ac:dyDescent="0.25">
      <c r="B58" s="98" t="s">
        <v>177</v>
      </c>
      <c r="C58" s="95" t="s">
        <v>178</v>
      </c>
      <c r="D58" s="1335"/>
      <c r="E58" s="97"/>
    </row>
    <row r="59" spans="2:9" s="1" customFormat="1" ht="26.25" x14ac:dyDescent="0.25">
      <c r="B59" s="98" t="s">
        <v>179</v>
      </c>
      <c r="C59" s="95" t="s">
        <v>180</v>
      </c>
      <c r="D59" s="1335"/>
      <c r="E59" s="97"/>
    </row>
    <row r="60" spans="2:9" s="1" customFormat="1" ht="26.25" x14ac:dyDescent="0.25">
      <c r="B60" s="98" t="s">
        <v>181</v>
      </c>
      <c r="C60" s="95" t="s">
        <v>182</v>
      </c>
      <c r="D60" s="1335">
        <v>0.11584999999999999</v>
      </c>
      <c r="E60" s="97"/>
    </row>
    <row r="61" spans="2:9" s="1" customFormat="1" ht="90" x14ac:dyDescent="0.25">
      <c r="B61" s="98" t="s">
        <v>183</v>
      </c>
      <c r="C61" s="95" t="s">
        <v>184</v>
      </c>
      <c r="D61" s="1335">
        <v>0.92047999999999996</v>
      </c>
      <c r="E61" s="99"/>
    </row>
    <row r="62" spans="2:9" s="1" customFormat="1" x14ac:dyDescent="0.25">
      <c r="B62" s="98" t="s">
        <v>185</v>
      </c>
      <c r="C62" s="95" t="s">
        <v>186</v>
      </c>
      <c r="D62" s="1335"/>
      <c r="E62" s="97"/>
    </row>
    <row r="63" spans="2:9" s="1" customFormat="1" ht="39" x14ac:dyDescent="0.25">
      <c r="B63" s="98" t="s">
        <v>187</v>
      </c>
      <c r="C63" s="95" t="s">
        <v>188</v>
      </c>
      <c r="D63" s="1335">
        <v>300.09789000000001</v>
      </c>
      <c r="E63" s="97"/>
      <c r="F63" s="100"/>
      <c r="G63" s="101"/>
      <c r="H63" s="92"/>
    </row>
    <row r="64" spans="2:9" s="1" customFormat="1" ht="26.25" x14ac:dyDescent="0.25">
      <c r="B64" s="98" t="s">
        <v>189</v>
      </c>
      <c r="C64" s="95" t="s">
        <v>190</v>
      </c>
      <c r="D64" s="1335"/>
      <c r="E64" s="97"/>
    </row>
    <row r="65" spans="2:9" s="1" customFormat="1" ht="31.5" customHeight="1" x14ac:dyDescent="0.25">
      <c r="B65" s="98" t="s">
        <v>191</v>
      </c>
      <c r="C65" s="95" t="s">
        <v>192</v>
      </c>
      <c r="D65" s="1335"/>
      <c r="E65" s="97"/>
    </row>
    <row r="66" spans="2:9" s="1" customFormat="1" ht="26.25" x14ac:dyDescent="0.25">
      <c r="B66" s="98" t="s">
        <v>193</v>
      </c>
      <c r="C66" s="95" t="s">
        <v>194</v>
      </c>
      <c r="D66" s="1335">
        <v>1.0524</v>
      </c>
      <c r="E66" s="97"/>
    </row>
    <row r="67" spans="2:9" s="1" customFormat="1" ht="77.25" x14ac:dyDescent="0.25">
      <c r="B67" s="98" t="s">
        <v>195</v>
      </c>
      <c r="C67" s="95" t="s">
        <v>196</v>
      </c>
      <c r="D67" s="1335">
        <v>18.443460000000002</v>
      </c>
      <c r="E67" s="97"/>
    </row>
    <row r="68" spans="2:9" s="1" customFormat="1" ht="64.5" x14ac:dyDescent="0.25">
      <c r="B68" s="102" t="s">
        <v>197</v>
      </c>
      <c r="C68" s="95" t="s">
        <v>198</v>
      </c>
      <c r="D68" s="1335"/>
      <c r="E68" s="103"/>
    </row>
    <row r="69" spans="2:9" s="1" customFormat="1" ht="39" x14ac:dyDescent="0.25">
      <c r="B69" s="102" t="s">
        <v>199</v>
      </c>
      <c r="C69" s="95" t="s">
        <v>200</v>
      </c>
      <c r="D69" s="1335"/>
      <c r="E69" s="103"/>
    </row>
    <row r="70" spans="2:9" s="1" customFormat="1" ht="51.75" x14ac:dyDescent="0.25">
      <c r="B70" s="102" t="s">
        <v>201</v>
      </c>
      <c r="C70" s="95" t="s">
        <v>202</v>
      </c>
      <c r="D70" s="1335"/>
      <c r="E70" s="103"/>
    </row>
    <row r="71" spans="2:9" s="1" customFormat="1" ht="39" x14ac:dyDescent="0.25">
      <c r="B71" s="102" t="s">
        <v>203</v>
      </c>
      <c r="C71" s="95" t="s">
        <v>204</v>
      </c>
      <c r="D71" s="1335"/>
      <c r="E71" s="103"/>
    </row>
    <row r="72" spans="2:9" s="1" customFormat="1" x14ac:dyDescent="0.25">
      <c r="B72" s="102" t="s">
        <v>205</v>
      </c>
      <c r="C72" s="95" t="s">
        <v>206</v>
      </c>
      <c r="D72" s="1335"/>
      <c r="E72" s="103"/>
    </row>
    <row r="73" spans="2:9" s="1" customFormat="1" ht="27" thickBot="1" x14ac:dyDescent="0.3">
      <c r="B73" s="104" t="s">
        <v>207</v>
      </c>
      <c r="C73" s="105" t="s">
        <v>208</v>
      </c>
      <c r="D73" s="1335">
        <v>0.65825999999999996</v>
      </c>
      <c r="E73" s="106"/>
    </row>
    <row r="74" spans="2:9" s="1" customFormat="1" ht="15.75" thickBot="1" x14ac:dyDescent="0.3">
      <c r="B74" s="77" t="s">
        <v>209</v>
      </c>
      <c r="C74" s="107" t="s">
        <v>210</v>
      </c>
      <c r="D74" s="108">
        <v>-63.8</v>
      </c>
      <c r="E74" s="80"/>
      <c r="I74" s="59"/>
    </row>
    <row r="75" spans="2:9" s="1" customFormat="1" ht="24" x14ac:dyDescent="0.25">
      <c r="B75" s="109" t="s">
        <v>79</v>
      </c>
      <c r="C75" s="110" t="s">
        <v>211</v>
      </c>
      <c r="D75" s="111">
        <f>D11-D42</f>
        <v>-50.426511468277567</v>
      </c>
      <c r="E75" s="112"/>
      <c r="I75" s="59"/>
    </row>
    <row r="76" spans="2:9" s="1" customFormat="1" x14ac:dyDescent="0.25">
      <c r="B76" s="64" t="s">
        <v>212</v>
      </c>
      <c r="C76" s="83" t="s">
        <v>213</v>
      </c>
      <c r="D76" s="84">
        <f>D12-D43</f>
        <v>75.309196153243818</v>
      </c>
      <c r="E76" s="67"/>
    </row>
    <row r="77" spans="2:9" s="1" customFormat="1" x14ac:dyDescent="0.25">
      <c r="B77" s="64" t="s">
        <v>214</v>
      </c>
      <c r="C77" s="83" t="s">
        <v>215</v>
      </c>
      <c r="D77" s="84">
        <f>D15-D44</f>
        <v>-129.25306481636773</v>
      </c>
      <c r="E77" s="67"/>
    </row>
    <row r="78" spans="2:9" s="1" customFormat="1" x14ac:dyDescent="0.25">
      <c r="B78" s="64" t="s">
        <v>216</v>
      </c>
      <c r="C78" s="83" t="s">
        <v>217</v>
      </c>
      <c r="D78" s="84">
        <f>D16-D45</f>
        <v>-109.83169703399659</v>
      </c>
      <c r="E78" s="67"/>
    </row>
    <row r="79" spans="2:9" s="1" customFormat="1" x14ac:dyDescent="0.25">
      <c r="B79" s="64" t="s">
        <v>218</v>
      </c>
      <c r="C79" s="83" t="s">
        <v>219</v>
      </c>
      <c r="D79" s="84">
        <f>D19-D46</f>
        <v>-31.37394802928614</v>
      </c>
      <c r="E79" s="67"/>
    </row>
    <row r="80" spans="2:9" s="1" customFormat="1" x14ac:dyDescent="0.25">
      <c r="B80" s="64" t="s">
        <v>220</v>
      </c>
      <c r="C80" s="83" t="s">
        <v>221</v>
      </c>
      <c r="D80" s="84">
        <f>D23-D47</f>
        <v>11.952580246914948</v>
      </c>
      <c r="E80" s="67"/>
    </row>
    <row r="81" spans="2:9" s="1" customFormat="1" ht="24" x14ac:dyDescent="0.25">
      <c r="B81" s="68" t="s">
        <v>222</v>
      </c>
      <c r="C81" s="83" t="s">
        <v>223</v>
      </c>
      <c r="D81" s="84">
        <f>D27-D48</f>
        <v>0</v>
      </c>
      <c r="E81" s="67"/>
    </row>
    <row r="82" spans="2:9" s="1" customFormat="1" ht="15.75" thickBot="1" x14ac:dyDescent="0.3">
      <c r="B82" s="68" t="s">
        <v>224</v>
      </c>
      <c r="C82" s="90" t="s">
        <v>225</v>
      </c>
      <c r="D82" s="84">
        <f>D31-D49</f>
        <v>3.5173571948462268</v>
      </c>
      <c r="E82" s="71"/>
    </row>
    <row r="83" spans="2:9" s="1" customFormat="1" x14ac:dyDescent="0.25">
      <c r="B83" s="60" t="s">
        <v>81</v>
      </c>
      <c r="C83" s="76" t="s">
        <v>226</v>
      </c>
      <c r="D83" s="82">
        <f>D34-D50</f>
        <v>3.1172114682777119</v>
      </c>
      <c r="E83" s="63"/>
      <c r="I83" s="59"/>
    </row>
    <row r="84" spans="2:9" s="1" customFormat="1" x14ac:dyDescent="0.25">
      <c r="B84" s="64" t="s">
        <v>83</v>
      </c>
      <c r="C84" s="83" t="s">
        <v>227</v>
      </c>
      <c r="D84" s="84">
        <f>D35-D51</f>
        <v>0</v>
      </c>
      <c r="E84" s="67"/>
    </row>
    <row r="85" spans="2:9" s="1" customFormat="1" x14ac:dyDescent="0.25">
      <c r="B85" s="68" t="s">
        <v>85</v>
      </c>
      <c r="C85" s="90" t="s">
        <v>228</v>
      </c>
      <c r="D85" s="91">
        <f>IFERROR(D38-D52,"-")</f>
        <v>3.1172114682777119</v>
      </c>
      <c r="E85" s="71"/>
    </row>
    <row r="86" spans="2:9" s="1" customFormat="1" ht="15.75" thickBot="1" x14ac:dyDescent="0.3">
      <c r="B86" s="113" t="s">
        <v>87</v>
      </c>
      <c r="C86" s="114" t="s">
        <v>229</v>
      </c>
      <c r="D86" s="115"/>
      <c r="E86" s="71"/>
    </row>
    <row r="87" spans="2:9" s="1" customFormat="1" ht="15.75" thickBot="1" x14ac:dyDescent="0.3">
      <c r="B87" s="77" t="s">
        <v>230</v>
      </c>
      <c r="C87" s="78" t="s">
        <v>231</v>
      </c>
      <c r="D87" s="116"/>
      <c r="E87" s="80"/>
      <c r="I87" s="59"/>
    </row>
    <row r="88" spans="2:9" s="1" customFormat="1" ht="15.75" thickBot="1" x14ac:dyDescent="0.3">
      <c r="B88" s="77" t="s">
        <v>232</v>
      </c>
      <c r="C88" s="78" t="s">
        <v>233</v>
      </c>
      <c r="D88" s="79">
        <f>IFERROR(D74+D86-D87,"0")</f>
        <v>-63.8</v>
      </c>
      <c r="E88" s="80"/>
      <c r="I88" s="59"/>
    </row>
    <row r="89" spans="2:9" s="1" customFormat="1" ht="24" x14ac:dyDescent="0.25">
      <c r="B89" s="109" t="s">
        <v>234</v>
      </c>
      <c r="C89" s="110" t="s">
        <v>235</v>
      </c>
      <c r="D89" s="111">
        <f>IFERROR((D75/D11)*100,"0")</f>
        <v>-6.5246589091145903</v>
      </c>
      <c r="E89" s="112"/>
    </row>
    <row r="90" spans="2:9" s="1" customFormat="1" x14ac:dyDescent="0.25">
      <c r="B90" s="64" t="s">
        <v>236</v>
      </c>
      <c r="C90" s="83" t="s">
        <v>237</v>
      </c>
      <c r="D90" s="84">
        <f>IFERROR((D76/D12)*100,"0")</f>
        <v>17.276318019975594</v>
      </c>
      <c r="E90" s="67"/>
    </row>
    <row r="91" spans="2:9" s="1" customFormat="1" x14ac:dyDescent="0.25">
      <c r="B91" s="64" t="s">
        <v>238</v>
      </c>
      <c r="C91" s="83" t="s">
        <v>239</v>
      </c>
      <c r="D91" s="84">
        <f>IFERROR((D77/D15)*100,"0")</f>
        <v>-43.79424653687807</v>
      </c>
      <c r="E91" s="67"/>
    </row>
    <row r="92" spans="2:9" s="1" customFormat="1" ht="24" x14ac:dyDescent="0.25">
      <c r="B92" s="64" t="s">
        <v>240</v>
      </c>
      <c r="C92" s="83" t="s">
        <v>241</v>
      </c>
      <c r="D92" s="84">
        <f>IFERROR((D78/D16)*100,"0")</f>
        <v>-104.12441896902452</v>
      </c>
      <c r="E92" s="67"/>
    </row>
    <row r="93" spans="2:9" s="1" customFormat="1" x14ac:dyDescent="0.25">
      <c r="B93" s="64" t="s">
        <v>242</v>
      </c>
      <c r="C93" s="83" t="s">
        <v>243</v>
      </c>
      <c r="D93" s="84">
        <f>IFERROR((D79/D19)*100,"0")</f>
        <v>-24.954492241009333</v>
      </c>
      <c r="E93" s="67"/>
    </row>
    <row r="94" spans="2:9" s="1" customFormat="1" x14ac:dyDescent="0.25">
      <c r="B94" s="64" t="s">
        <v>244</v>
      </c>
      <c r="C94" s="83" t="s">
        <v>245</v>
      </c>
      <c r="D94" s="84">
        <f>IFERROR((D80/D23)*100,"0")</f>
        <v>18.69599606782937</v>
      </c>
      <c r="E94" s="67"/>
    </row>
    <row r="95" spans="2:9" s="1" customFormat="1" ht="24" x14ac:dyDescent="0.25">
      <c r="B95" s="68" t="s">
        <v>246</v>
      </c>
      <c r="C95" s="83" t="s">
        <v>247</v>
      </c>
      <c r="D95" s="84" t="str">
        <f>IFERROR((D81/D27)*100,"0")</f>
        <v>0</v>
      </c>
      <c r="E95" s="67"/>
    </row>
    <row r="96" spans="2:9" s="1" customFormat="1" ht="15.75" thickBot="1" x14ac:dyDescent="0.3">
      <c r="B96" s="117" t="s">
        <v>248</v>
      </c>
      <c r="C96" s="118" t="s">
        <v>249</v>
      </c>
      <c r="D96" s="119">
        <f>IFERROR((D82/D31)*100,"0")</f>
        <v>8.4120294270266012</v>
      </c>
      <c r="E96" s="120"/>
    </row>
    <row r="98" spans="3:3" s="1" customFormat="1" x14ac:dyDescent="0.25">
      <c r="C98" s="89" t="s">
        <v>250</v>
      </c>
    </row>
    <row r="99" spans="3:3" s="1" customFormat="1" x14ac:dyDescent="0.25">
      <c r="C99" s="89" t="s">
        <v>251</v>
      </c>
    </row>
  </sheetData>
  <sheetProtection algorithmName="SHA-512" hashValue="KyVaCJNBOc7jm+YLxEHs85cxjShsCBwVEPa172c/xr1jbcjlnb49h2rtJpBl3Cw+2BPxAtDER+Yrz36dcLBdxw==" saltValue="yn0+K67/K2k8Js9185mbtNGHrN39tfIseAd2BrFzJ8ptilK4XXx3z+vmRH0rmMU8IrRyiHqKXGOMS989+Tgi8g=="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1"/>
  <sheetViews>
    <sheetView tabSelected="1" topLeftCell="A19" zoomScale="80" zoomScaleNormal="80" workbookViewId="0">
      <selection activeCell="D23" sqref="D23"/>
    </sheetView>
  </sheetViews>
  <sheetFormatPr defaultColWidth="9.140625" defaultRowHeight="15" x14ac:dyDescent="0.2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1" customWidth="1"/>
    <col min="18" max="18" width="5.42578125" style="121" customWidth="1"/>
    <col min="19" max="19" width="9.140625" style="6"/>
    <col min="20" max="20" width="12.7109375" style="6" bestFit="1" customWidth="1"/>
    <col min="21" max="16384" width="9.140625" style="6"/>
  </cols>
  <sheetData>
    <row r="1" spans="1:18" s="1" customFormat="1" x14ac:dyDescent="0.25">
      <c r="A1" s="1363" t="s">
        <v>0</v>
      </c>
      <c r="B1" s="1364"/>
      <c r="C1" s="1364"/>
      <c r="D1" s="1364"/>
      <c r="E1" s="1364"/>
      <c r="F1" s="1364"/>
      <c r="G1" s="1364"/>
      <c r="H1" s="1364"/>
      <c r="I1" s="1364"/>
      <c r="J1" s="1364"/>
      <c r="K1" s="1364"/>
      <c r="L1" s="1364"/>
      <c r="M1" s="1364"/>
      <c r="N1" s="1364"/>
      <c r="O1" s="1364"/>
      <c r="P1" s="1364"/>
      <c r="Q1" s="1365"/>
    </row>
    <row r="2" spans="1:18" s="1" customFormat="1" x14ac:dyDescent="0.25">
      <c r="A2" s="1363" t="s">
        <v>1</v>
      </c>
      <c r="B2" s="1364"/>
      <c r="C2" s="1364"/>
      <c r="D2" s="1364"/>
      <c r="E2" s="1364"/>
      <c r="F2" s="1364"/>
      <c r="G2" s="1364"/>
      <c r="H2" s="1364"/>
      <c r="I2" s="1364"/>
      <c r="J2" s="1364"/>
      <c r="K2" s="1364"/>
      <c r="L2" s="1364"/>
      <c r="M2" s="1364"/>
      <c r="N2" s="1364"/>
      <c r="O2" s="1364"/>
      <c r="P2" s="1364"/>
      <c r="Q2" s="1365"/>
    </row>
    <row r="3" spans="1:18" s="1" customFormat="1" x14ac:dyDescent="0.25">
      <c r="A3" s="1366"/>
      <c r="B3" s="1367"/>
      <c r="C3" s="1367"/>
      <c r="D3" s="1367"/>
      <c r="E3" s="1367"/>
      <c r="F3" s="1367"/>
      <c r="G3" s="1367"/>
      <c r="H3" s="1367"/>
      <c r="I3" s="1367"/>
      <c r="J3" s="1367"/>
      <c r="K3" s="1367"/>
      <c r="L3" s="1367"/>
      <c r="M3" s="1367"/>
      <c r="N3" s="1367"/>
      <c r="O3" s="1367"/>
      <c r="P3" s="1367"/>
      <c r="Q3" s="1368"/>
    </row>
    <row r="4" spans="1:18" s="1" customFormat="1" x14ac:dyDescent="0.25">
      <c r="A4" s="7"/>
      <c r="B4" s="7"/>
      <c r="C4" s="7"/>
      <c r="D4" s="7"/>
      <c r="E4" s="7"/>
      <c r="F4" s="7"/>
      <c r="G4" s="7"/>
      <c r="H4" s="7"/>
      <c r="I4" s="7"/>
      <c r="J4" s="7"/>
      <c r="K4" s="7"/>
      <c r="L4" s="7"/>
      <c r="M4" s="7"/>
      <c r="N4" s="7"/>
      <c r="O4" s="7"/>
      <c r="P4" s="7"/>
      <c r="Q4" s="122"/>
    </row>
    <row r="5" spans="1:18" s="1" customFormat="1" x14ac:dyDescent="0.25">
      <c r="A5" s="1369" t="s">
        <v>252</v>
      </c>
      <c r="B5" s="1370"/>
      <c r="C5" s="1370"/>
      <c r="D5" s="1370"/>
      <c r="E5" s="1370"/>
      <c r="F5" s="1370"/>
      <c r="G5" s="1370"/>
      <c r="H5" s="1370"/>
      <c r="I5" s="1370"/>
      <c r="J5" s="1370"/>
      <c r="K5" s="1370"/>
      <c r="L5" s="1370"/>
      <c r="M5" s="1370"/>
      <c r="N5" s="1370"/>
      <c r="O5" s="1370"/>
      <c r="P5" s="1370"/>
      <c r="Q5" s="1371"/>
    </row>
    <row r="6" spans="1:18" s="1" customFormat="1" x14ac:dyDescent="0.25">
      <c r="A6" s="7"/>
      <c r="B6" s="7"/>
      <c r="C6" s="7"/>
      <c r="D6" s="7"/>
      <c r="E6" s="7"/>
      <c r="F6" s="7"/>
      <c r="G6" s="7"/>
      <c r="H6" s="7"/>
      <c r="I6" s="7"/>
      <c r="J6" s="7"/>
      <c r="K6" s="7"/>
      <c r="L6" s="7"/>
      <c r="M6" s="7"/>
      <c r="N6" s="7"/>
      <c r="O6" s="7"/>
      <c r="P6" s="7"/>
      <c r="Q6" s="122"/>
    </row>
    <row r="8" spans="1:18" s="1" customFormat="1" ht="15.75" thickBot="1" x14ac:dyDescent="0.3">
      <c r="B8" s="1362" t="s">
        <v>253</v>
      </c>
      <c r="C8" s="1362"/>
      <c r="D8" s="1362"/>
      <c r="E8" s="1362"/>
      <c r="F8" s="1362"/>
      <c r="G8" s="1362"/>
      <c r="H8" s="1362"/>
      <c r="I8" s="1362"/>
      <c r="J8" s="1362"/>
      <c r="K8" s="1362"/>
      <c r="L8" s="1362"/>
      <c r="M8" s="1362"/>
      <c r="N8" s="1362"/>
      <c r="O8" s="1362"/>
      <c r="P8" s="1362"/>
    </row>
    <row r="9" spans="1:18" s="1" customFormat="1" ht="124.5" customHeight="1" thickBot="1" x14ac:dyDescent="0.3">
      <c r="B9" s="123" t="s">
        <v>4</v>
      </c>
      <c r="C9" s="124" t="s">
        <v>254</v>
      </c>
      <c r="D9" s="124" t="s">
        <v>255</v>
      </c>
      <c r="E9" s="125" t="s">
        <v>256</v>
      </c>
      <c r="F9" s="126" t="s">
        <v>257</v>
      </c>
      <c r="G9" s="127" t="s">
        <v>258</v>
      </c>
      <c r="H9" s="128" t="s">
        <v>259</v>
      </c>
      <c r="I9" s="129" t="s">
        <v>260</v>
      </c>
      <c r="J9" s="130" t="s">
        <v>261</v>
      </c>
      <c r="K9" s="127" t="s">
        <v>262</v>
      </c>
      <c r="L9" s="128" t="s">
        <v>263</v>
      </c>
      <c r="M9" s="131" t="s">
        <v>264</v>
      </c>
      <c r="N9" s="132" t="s">
        <v>265</v>
      </c>
      <c r="O9" s="125" t="s">
        <v>266</v>
      </c>
      <c r="P9" s="126" t="s">
        <v>267</v>
      </c>
    </row>
    <row r="10" spans="1:18" s="1" customFormat="1" ht="28.5" customHeight="1" thickTop="1" thickBot="1" x14ac:dyDescent="0.3">
      <c r="B10" s="133" t="s">
        <v>51</v>
      </c>
      <c r="C10" s="134" t="s">
        <v>268</v>
      </c>
      <c r="D10" s="135"/>
      <c r="E10" s="136"/>
      <c r="F10" s="137"/>
      <c r="G10" s="138"/>
      <c r="H10" s="139"/>
      <c r="I10" s="140"/>
      <c r="J10" s="137"/>
      <c r="K10" s="138"/>
      <c r="L10" s="139"/>
      <c r="M10" s="139"/>
      <c r="N10" s="135"/>
      <c r="O10" s="136"/>
      <c r="P10" s="137"/>
    </row>
    <row r="11" spans="1:18" s="1" customFormat="1" ht="16.5" thickTop="1" thickBot="1" x14ac:dyDescent="0.3">
      <c r="B11" s="141" t="s">
        <v>96</v>
      </c>
      <c r="C11" s="142" t="s">
        <v>269</v>
      </c>
      <c r="D11" s="143">
        <f t="shared" ref="D11:P11" si="0">D30</f>
        <v>0</v>
      </c>
      <c r="E11" s="144">
        <f t="shared" si="0"/>
        <v>0</v>
      </c>
      <c r="F11" s="145">
        <f t="shared" si="0"/>
        <v>0</v>
      </c>
      <c r="G11" s="146">
        <f t="shared" si="0"/>
        <v>0</v>
      </c>
      <c r="H11" s="147">
        <f t="shared" si="0"/>
        <v>0</v>
      </c>
      <c r="I11" s="148">
        <f t="shared" si="0"/>
        <v>0</v>
      </c>
      <c r="J11" s="145">
        <f t="shared" si="0"/>
        <v>0</v>
      </c>
      <c r="K11" s="146">
        <f t="shared" si="0"/>
        <v>0</v>
      </c>
      <c r="L11" s="147">
        <f t="shared" si="0"/>
        <v>0</v>
      </c>
      <c r="M11" s="147">
        <f t="shared" si="0"/>
        <v>0</v>
      </c>
      <c r="N11" s="143">
        <f t="shared" si="0"/>
        <v>0</v>
      </c>
      <c r="O11" s="144">
        <f t="shared" si="0"/>
        <v>0</v>
      </c>
      <c r="P11" s="145">
        <f t="shared" si="0"/>
        <v>0</v>
      </c>
    </row>
    <row r="12" spans="1:18" s="1" customFormat="1" ht="15.75" thickBot="1" x14ac:dyDescent="0.3">
      <c r="B12" s="149" t="s">
        <v>102</v>
      </c>
      <c r="C12" s="150" t="s">
        <v>270</v>
      </c>
      <c r="D12" s="151">
        <f t="shared" ref="D12:P12" si="1">D31</f>
        <v>0</v>
      </c>
      <c r="E12" s="152">
        <f t="shared" si="1"/>
        <v>0</v>
      </c>
      <c r="F12" s="153">
        <f t="shared" si="1"/>
        <v>0</v>
      </c>
      <c r="G12" s="154">
        <f t="shared" si="1"/>
        <v>0</v>
      </c>
      <c r="H12" s="155">
        <f t="shared" si="1"/>
        <v>0</v>
      </c>
      <c r="I12" s="156">
        <f t="shared" si="1"/>
        <v>0</v>
      </c>
      <c r="J12" s="153">
        <f t="shared" si="1"/>
        <v>0</v>
      </c>
      <c r="K12" s="154">
        <f t="shared" si="1"/>
        <v>0</v>
      </c>
      <c r="L12" s="155">
        <f t="shared" si="1"/>
        <v>0</v>
      </c>
      <c r="M12" s="155">
        <f t="shared" si="1"/>
        <v>0</v>
      </c>
      <c r="N12" s="151">
        <f t="shared" si="1"/>
        <v>0</v>
      </c>
      <c r="O12" s="152">
        <f t="shared" si="1"/>
        <v>0</v>
      </c>
      <c r="P12" s="153">
        <f t="shared" si="1"/>
        <v>0</v>
      </c>
    </row>
    <row r="13" spans="1:18" s="1" customFormat="1" x14ac:dyDescent="0.25">
      <c r="B13" s="149" t="s">
        <v>124</v>
      </c>
      <c r="C13" s="150" t="s">
        <v>271</v>
      </c>
      <c r="D13" s="151">
        <f t="shared" ref="D13:P13" si="2">D34+D91</f>
        <v>73.964619999999996</v>
      </c>
      <c r="E13" s="152">
        <f t="shared" si="2"/>
        <v>0</v>
      </c>
      <c r="F13" s="153">
        <f t="shared" si="2"/>
        <v>34.622120000000002</v>
      </c>
      <c r="G13" s="154">
        <f t="shared" si="2"/>
        <v>8.0972100000000005</v>
      </c>
      <c r="H13" s="155">
        <f t="shared" si="2"/>
        <v>22.472809999999999</v>
      </c>
      <c r="I13" s="156">
        <f t="shared" si="2"/>
        <v>4.0521000000000003</v>
      </c>
      <c r="J13" s="153">
        <f t="shared" si="2"/>
        <v>39.342500000000001</v>
      </c>
      <c r="K13" s="154">
        <f t="shared" si="2"/>
        <v>7.9466100000000006</v>
      </c>
      <c r="L13" s="155">
        <f t="shared" si="2"/>
        <v>27.407899999999998</v>
      </c>
      <c r="M13" s="155">
        <f t="shared" si="2"/>
        <v>3.9879899999999999</v>
      </c>
      <c r="N13" s="151">
        <f t="shared" si="2"/>
        <v>0</v>
      </c>
      <c r="O13" s="152">
        <f t="shared" si="2"/>
        <v>0</v>
      </c>
      <c r="P13" s="153">
        <f t="shared" si="2"/>
        <v>0</v>
      </c>
    </row>
    <row r="14" spans="1:18" s="3" customFormat="1" ht="35.25" customHeight="1" thickBot="1" x14ac:dyDescent="0.3">
      <c r="B14" s="157" t="s">
        <v>126</v>
      </c>
      <c r="C14" s="158" t="s">
        <v>272</v>
      </c>
      <c r="D14" s="159">
        <f t="shared" ref="D14:P14" si="3">D35+D92</f>
        <v>64.62863999999999</v>
      </c>
      <c r="E14" s="160">
        <f t="shared" si="3"/>
        <v>0</v>
      </c>
      <c r="F14" s="161">
        <f t="shared" si="3"/>
        <v>29.100020000000001</v>
      </c>
      <c r="G14" s="162">
        <f t="shared" si="3"/>
        <v>7.2611600000000003</v>
      </c>
      <c r="H14" s="163">
        <f t="shared" si="3"/>
        <v>18.576969999999999</v>
      </c>
      <c r="I14" s="164">
        <f t="shared" si="3"/>
        <v>3.2618900000000002</v>
      </c>
      <c r="J14" s="161">
        <f t="shared" si="3"/>
        <v>35.528619999999997</v>
      </c>
      <c r="K14" s="162">
        <f t="shared" si="3"/>
        <v>7.8976100000000002</v>
      </c>
      <c r="L14" s="163">
        <f t="shared" si="3"/>
        <v>24.06298</v>
      </c>
      <c r="M14" s="163">
        <f t="shared" si="3"/>
        <v>3.5680299999999998</v>
      </c>
      <c r="N14" s="159">
        <f t="shared" si="3"/>
        <v>0</v>
      </c>
      <c r="O14" s="160">
        <f t="shared" si="3"/>
        <v>0</v>
      </c>
      <c r="P14" s="161">
        <f t="shared" si="3"/>
        <v>0</v>
      </c>
      <c r="Q14" s="165"/>
      <c r="R14" s="165"/>
    </row>
    <row r="15" spans="1:18" s="1" customFormat="1" ht="15.75" thickBot="1" x14ac:dyDescent="0.3">
      <c r="B15" s="149" t="s">
        <v>131</v>
      </c>
      <c r="C15" s="150" t="s">
        <v>273</v>
      </c>
      <c r="D15" s="151">
        <f t="shared" ref="D15:P15" si="4">D37</f>
        <v>28.950709999999997</v>
      </c>
      <c r="E15" s="152">
        <f t="shared" si="4"/>
        <v>0</v>
      </c>
      <c r="F15" s="153">
        <f t="shared" si="4"/>
        <v>26.351959999999998</v>
      </c>
      <c r="G15" s="154">
        <f t="shared" si="4"/>
        <v>0</v>
      </c>
      <c r="H15" s="155">
        <f t="shared" si="4"/>
        <v>26.351959999999998</v>
      </c>
      <c r="I15" s="156">
        <f t="shared" si="4"/>
        <v>0</v>
      </c>
      <c r="J15" s="153">
        <f t="shared" si="4"/>
        <v>2.5987499999999999</v>
      </c>
      <c r="K15" s="154">
        <f t="shared" si="4"/>
        <v>0</v>
      </c>
      <c r="L15" s="155">
        <f t="shared" si="4"/>
        <v>0</v>
      </c>
      <c r="M15" s="155">
        <f t="shared" si="4"/>
        <v>2.5987499999999999</v>
      </c>
      <c r="N15" s="151">
        <f t="shared" si="4"/>
        <v>0</v>
      </c>
      <c r="O15" s="152">
        <f t="shared" si="4"/>
        <v>0</v>
      </c>
      <c r="P15" s="153">
        <f t="shared" si="4"/>
        <v>0</v>
      </c>
    </row>
    <row r="16" spans="1:18" s="1" customFormat="1" x14ac:dyDescent="0.25">
      <c r="B16" s="149" t="s">
        <v>274</v>
      </c>
      <c r="C16" s="150" t="s">
        <v>275</v>
      </c>
      <c r="D16" s="151">
        <f t="shared" ref="D16:P16" si="5">D45+D99+D194</f>
        <v>90.644279999999995</v>
      </c>
      <c r="E16" s="152">
        <f t="shared" si="5"/>
        <v>1.5577867450815643</v>
      </c>
      <c r="F16" s="153">
        <f t="shared" si="5"/>
        <v>9.6821920866187892</v>
      </c>
      <c r="G16" s="154">
        <f t="shared" si="5"/>
        <v>3.9408194930746143</v>
      </c>
      <c r="H16" s="155">
        <f t="shared" si="5"/>
        <v>4.8138219533652871</v>
      </c>
      <c r="I16" s="156">
        <f t="shared" si="5"/>
        <v>0.927550640178887</v>
      </c>
      <c r="J16" s="153">
        <f t="shared" si="5"/>
        <v>79.40373147311206</v>
      </c>
      <c r="K16" s="154">
        <f t="shared" si="5"/>
        <v>67.3494452810627</v>
      </c>
      <c r="L16" s="155">
        <f t="shared" si="5"/>
        <v>7.7115702830995172</v>
      </c>
      <c r="M16" s="155">
        <f t="shared" si="5"/>
        <v>4.3427159089498435</v>
      </c>
      <c r="N16" s="151">
        <f t="shared" si="5"/>
        <v>0</v>
      </c>
      <c r="O16" s="152">
        <f t="shared" si="5"/>
        <v>0</v>
      </c>
      <c r="P16" s="153">
        <f t="shared" si="5"/>
        <v>5.696951875825484E-4</v>
      </c>
    </row>
    <row r="17" spans="1:21" s="3" customFormat="1" x14ac:dyDescent="0.25">
      <c r="B17" s="166" t="s">
        <v>276</v>
      </c>
      <c r="C17" s="167" t="s">
        <v>277</v>
      </c>
      <c r="D17" s="168">
        <f t="shared" ref="D17:P17" si="6">D46+D100+D195</f>
        <v>13.47588</v>
      </c>
      <c r="E17" s="169">
        <f t="shared" si="6"/>
        <v>0.36087281449100539</v>
      </c>
      <c r="F17" s="170">
        <f t="shared" si="6"/>
        <v>4.1694324058068233</v>
      </c>
      <c r="G17" s="171">
        <f t="shared" si="6"/>
        <v>0.32921166426818715</v>
      </c>
      <c r="H17" s="172">
        <f t="shared" si="6"/>
        <v>2.9779774682094846</v>
      </c>
      <c r="I17" s="173">
        <f t="shared" si="6"/>
        <v>0.86224327332915185</v>
      </c>
      <c r="J17" s="170">
        <f t="shared" si="6"/>
        <v>8.9451607979060839</v>
      </c>
      <c r="K17" s="171">
        <f t="shared" si="6"/>
        <v>4.9665036176617869</v>
      </c>
      <c r="L17" s="172">
        <f t="shared" si="6"/>
        <v>2.3563930554238133</v>
      </c>
      <c r="M17" s="172">
        <f t="shared" si="6"/>
        <v>1.6222641248204859</v>
      </c>
      <c r="N17" s="168">
        <f t="shared" si="6"/>
        <v>0</v>
      </c>
      <c r="O17" s="169">
        <f t="shared" si="6"/>
        <v>0</v>
      </c>
      <c r="P17" s="170">
        <f t="shared" si="6"/>
        <v>4.1398179608563096E-4</v>
      </c>
      <c r="Q17" s="165"/>
      <c r="R17" s="165"/>
    </row>
    <row r="18" spans="1:21" s="3" customFormat="1" x14ac:dyDescent="0.25">
      <c r="B18" s="166" t="s">
        <v>278</v>
      </c>
      <c r="C18" s="167" t="s">
        <v>279</v>
      </c>
      <c r="D18" s="168">
        <f t="shared" ref="D18:P18" si="7">D49+D103+D198</f>
        <v>63.031470000000006</v>
      </c>
      <c r="E18" s="169">
        <f t="shared" si="7"/>
        <v>1.958369472978221E-3</v>
      </c>
      <c r="F18" s="170">
        <f t="shared" si="7"/>
        <v>1.1257506502552879</v>
      </c>
      <c r="G18" s="171">
        <f t="shared" si="7"/>
        <v>0.4246569628203789</v>
      </c>
      <c r="H18" s="172">
        <f t="shared" si="7"/>
        <v>0.65752883263150941</v>
      </c>
      <c r="I18" s="173">
        <f t="shared" si="7"/>
        <v>4.3564854803399472E-2</v>
      </c>
      <c r="J18" s="170">
        <f t="shared" si="7"/>
        <v>61.903621985741211</v>
      </c>
      <c r="K18" s="171">
        <f t="shared" si="7"/>
        <v>60.451990769969875</v>
      </c>
      <c r="L18" s="172">
        <f t="shared" si="7"/>
        <v>0.95018171330154289</v>
      </c>
      <c r="M18" s="172">
        <f t="shared" si="7"/>
        <v>0.5014495024697877</v>
      </c>
      <c r="N18" s="168">
        <f t="shared" si="7"/>
        <v>0</v>
      </c>
      <c r="O18" s="169">
        <f t="shared" si="7"/>
        <v>0</v>
      </c>
      <c r="P18" s="170">
        <f t="shared" si="7"/>
        <v>1.3899453052604297E-4</v>
      </c>
      <c r="Q18" s="165"/>
      <c r="R18" s="165"/>
    </row>
    <row r="19" spans="1:21" s="3" customFormat="1" ht="15.75" thickBot="1" x14ac:dyDescent="0.3">
      <c r="B19" s="174" t="s">
        <v>280</v>
      </c>
      <c r="C19" s="175" t="s">
        <v>281</v>
      </c>
      <c r="D19" s="176">
        <f t="shared" ref="D19:P19" si="8">D47+D101+D196</f>
        <v>11.636429999999999</v>
      </c>
      <c r="E19" s="177">
        <f t="shared" si="8"/>
        <v>0.51424999999999998</v>
      </c>
      <c r="F19" s="178">
        <f t="shared" si="8"/>
        <v>4.1609648020000005</v>
      </c>
      <c r="G19" s="179">
        <f t="shared" si="8"/>
        <v>3.0015982229999998</v>
      </c>
      <c r="H19" s="180">
        <f t="shared" si="8"/>
        <v>1.1433620180000001</v>
      </c>
      <c r="I19" s="181">
        <f t="shared" si="8"/>
        <v>1.6004561E-2</v>
      </c>
      <c r="J19" s="178">
        <f t="shared" si="8"/>
        <v>6.9612151979999997</v>
      </c>
      <c r="K19" s="179">
        <f t="shared" si="8"/>
        <v>1.5446543870000002</v>
      </c>
      <c r="L19" s="180">
        <f t="shared" si="8"/>
        <v>3.229220304</v>
      </c>
      <c r="M19" s="180">
        <f t="shared" si="8"/>
        <v>2.187340507</v>
      </c>
      <c r="N19" s="176">
        <f t="shared" si="8"/>
        <v>0</v>
      </c>
      <c r="O19" s="177">
        <f t="shared" si="8"/>
        <v>0</v>
      </c>
      <c r="P19" s="178">
        <f t="shared" si="8"/>
        <v>0</v>
      </c>
      <c r="Q19" s="165"/>
      <c r="R19" s="165"/>
    </row>
    <row r="20" spans="1:21" s="1" customFormat="1" x14ac:dyDescent="0.25">
      <c r="B20" s="149" t="s">
        <v>282</v>
      </c>
      <c r="C20" s="182" t="s">
        <v>283</v>
      </c>
      <c r="D20" s="151">
        <f t="shared" ref="D20:P20" si="9">D52+D106+D201</f>
        <v>444.18849</v>
      </c>
      <c r="E20" s="152">
        <f t="shared" si="9"/>
        <v>31.763147680554908</v>
      </c>
      <c r="F20" s="153">
        <f t="shared" si="9"/>
        <v>197.53292144304493</v>
      </c>
      <c r="G20" s="154">
        <f t="shared" si="9"/>
        <v>22.269839068584687</v>
      </c>
      <c r="H20" s="155">
        <f t="shared" si="9"/>
        <v>116.6857310670043</v>
      </c>
      <c r="I20" s="156">
        <f t="shared" si="9"/>
        <v>58.577351307455935</v>
      </c>
      <c r="J20" s="153">
        <f t="shared" si="9"/>
        <v>214.00326680987214</v>
      </c>
      <c r="K20" s="154">
        <f t="shared" si="9"/>
        <v>80.732824923432219</v>
      </c>
      <c r="L20" s="155">
        <f t="shared" si="9"/>
        <v>98.329773614887841</v>
      </c>
      <c r="M20" s="155">
        <f t="shared" si="9"/>
        <v>34.94066827155207</v>
      </c>
      <c r="N20" s="151">
        <f t="shared" si="9"/>
        <v>0</v>
      </c>
      <c r="O20" s="152">
        <f t="shared" si="9"/>
        <v>0</v>
      </c>
      <c r="P20" s="153">
        <f t="shared" si="9"/>
        <v>0.88915406652802531</v>
      </c>
    </row>
    <row r="21" spans="1:21" s="1" customFormat="1" ht="15.75" thickBot="1" x14ac:dyDescent="0.3">
      <c r="B21" s="166" t="s">
        <v>284</v>
      </c>
      <c r="C21" s="183" t="s">
        <v>285</v>
      </c>
      <c r="D21" s="168">
        <f t="shared" ref="D21:P21" si="10">D53+D107+D202</f>
        <v>432.62471000000005</v>
      </c>
      <c r="E21" s="169">
        <f t="shared" si="10"/>
        <v>31.016116905642594</v>
      </c>
      <c r="F21" s="170">
        <f t="shared" si="10"/>
        <v>192.4197820034891</v>
      </c>
      <c r="G21" s="171">
        <f t="shared" si="10"/>
        <v>21.639252554389842</v>
      </c>
      <c r="H21" s="172">
        <f t="shared" si="10"/>
        <v>113.71481029683954</v>
      </c>
      <c r="I21" s="173">
        <f t="shared" si="10"/>
        <v>57.065719152259724</v>
      </c>
      <c r="J21" s="170">
        <f t="shared" si="10"/>
        <v>208.31863560929065</v>
      </c>
      <c r="K21" s="171">
        <f t="shared" si="10"/>
        <v>78.370737952367676</v>
      </c>
      <c r="L21" s="172">
        <f t="shared" si="10"/>
        <v>95.849634400352954</v>
      </c>
      <c r="M21" s="172">
        <f t="shared" si="10"/>
        <v>34.098263256569993</v>
      </c>
      <c r="N21" s="168">
        <f t="shared" si="10"/>
        <v>0</v>
      </c>
      <c r="O21" s="169">
        <f t="shared" si="10"/>
        <v>0</v>
      </c>
      <c r="P21" s="170">
        <f t="shared" si="10"/>
        <v>0.87017548157766655</v>
      </c>
    </row>
    <row r="22" spans="1:21" s="1" customFormat="1" ht="15.75" thickBot="1" x14ac:dyDescent="0.3">
      <c r="A22" s="184"/>
      <c r="B22" s="185" t="s">
        <v>286</v>
      </c>
      <c r="C22" s="186" t="s">
        <v>287</v>
      </c>
      <c r="D22" s="187">
        <f>D32+D33+D47+D67+D69+D73+D75+D76+D77+D79+D85+D86+D101+D119+D121+D125+D128+D129+D131+D137+D138+D196+D214+D216+D220+D222+D223+D224+D226+D233+D234+D127</f>
        <v>42.21228</v>
      </c>
      <c r="E22" s="188">
        <f>E32+E33+E47+E67+E69+E73+E75+E76+E77+E79+E85+E86+E101+E119+E121+E125+E127+E128+E129+E131+E137+E138+E196+E214+E216+E220+E222+E223+E224+E226+E233+E234+E127</f>
        <v>1.1174716977037502</v>
      </c>
      <c r="F22" s="189">
        <f t="shared" ref="F22:P22" si="11">F32+F33+F47+F67+F69+F73+F75+F76+F77+F79+F85+F86+F101+F119+F121+F125+F128+F129+F131+F137+F138+F196+F214+F216+F220+F222+F223+F224+F226+F233+F234+F127</f>
        <v>17.166601524105104</v>
      </c>
      <c r="G22" s="190">
        <f t="shared" si="11"/>
        <v>3.8228774787377566</v>
      </c>
      <c r="H22" s="191">
        <f t="shared" si="11"/>
        <v>5.5925149503298579</v>
      </c>
      <c r="I22" s="192">
        <f t="shared" si="11"/>
        <v>7.751209095037491</v>
      </c>
      <c r="J22" s="189">
        <f t="shared" si="11"/>
        <v>23.174883347001394</v>
      </c>
      <c r="K22" s="190">
        <f t="shared" si="11"/>
        <v>6.9865771149162192</v>
      </c>
      <c r="L22" s="191">
        <f t="shared" si="11"/>
        <v>12.925604175754007</v>
      </c>
      <c r="M22" s="191">
        <f t="shared" si="11"/>
        <v>3.2627020563311695</v>
      </c>
      <c r="N22" s="187">
        <f t="shared" si="11"/>
        <v>0</v>
      </c>
      <c r="O22" s="188">
        <f t="shared" si="11"/>
        <v>0</v>
      </c>
      <c r="P22" s="193">
        <f t="shared" si="11"/>
        <v>0.75332343118974765</v>
      </c>
    </row>
    <row r="23" spans="1:21" s="1" customFormat="1" ht="16.5" thickTop="1" thickBot="1" x14ac:dyDescent="0.3">
      <c r="A23" s="184"/>
      <c r="B23" s="194" t="s">
        <v>288</v>
      </c>
      <c r="C23" s="134" t="s">
        <v>289</v>
      </c>
      <c r="D23" s="195">
        <f t="shared" ref="D23:P23" si="12">D29+D90+D186</f>
        <v>826.00506000000007</v>
      </c>
      <c r="E23" s="196">
        <f t="shared" si="12"/>
        <v>38.296062805153774</v>
      </c>
      <c r="F23" s="194">
        <f t="shared" si="12"/>
        <v>360.60079384675618</v>
      </c>
      <c r="G23" s="197">
        <f t="shared" si="12"/>
        <v>54.676768129374594</v>
      </c>
      <c r="H23" s="198">
        <f t="shared" si="12"/>
        <v>204.34143288603946</v>
      </c>
      <c r="I23" s="199">
        <f t="shared" si="12"/>
        <v>101.58259283134215</v>
      </c>
      <c r="J23" s="194">
        <f t="shared" si="12"/>
        <v>424.39015481636773</v>
      </c>
      <c r="K23" s="197">
        <f t="shared" si="12"/>
        <v>215.31290703399659</v>
      </c>
      <c r="L23" s="198">
        <f t="shared" si="12"/>
        <v>157.09859802928614</v>
      </c>
      <c r="M23" s="198">
        <f t="shared" si="12"/>
        <v>51.978649753085051</v>
      </c>
      <c r="N23" s="195">
        <f t="shared" si="12"/>
        <v>0</v>
      </c>
      <c r="O23" s="196">
        <f t="shared" si="12"/>
        <v>0</v>
      </c>
      <c r="P23" s="200">
        <f t="shared" si="12"/>
        <v>2.718048531722288</v>
      </c>
      <c r="S23" s="121"/>
      <c r="T23" s="201"/>
      <c r="U23" s="4"/>
    </row>
    <row r="24" spans="1:21" s="1" customFormat="1" ht="15.75" thickTop="1" x14ac:dyDescent="0.25">
      <c r="B24" s="202" t="s">
        <v>290</v>
      </c>
      <c r="C24" s="203" t="s">
        <v>291</v>
      </c>
      <c r="D24" s="151">
        <f t="shared" ref="D24:D31" si="13">E24+F24+J24+N24+O24+P24</f>
        <v>718.54070999999999</v>
      </c>
      <c r="E24" s="152">
        <f t="shared" ref="E24:P24" si="14">SUM(E25:E27)</f>
        <v>38.296062805153774</v>
      </c>
      <c r="F24" s="153">
        <f t="shared" si="14"/>
        <v>292.20981384675616</v>
      </c>
      <c r="G24" s="154">
        <f t="shared" si="14"/>
        <v>34.476608129374583</v>
      </c>
      <c r="H24" s="155">
        <f t="shared" si="14"/>
        <v>159.41250288603945</v>
      </c>
      <c r="I24" s="156">
        <f t="shared" si="14"/>
        <v>98.320702831342146</v>
      </c>
      <c r="J24" s="153">
        <f t="shared" si="14"/>
        <v>385.31678481636777</v>
      </c>
      <c r="K24" s="154">
        <f t="shared" si="14"/>
        <v>207.41529703399658</v>
      </c>
      <c r="L24" s="155">
        <f t="shared" si="14"/>
        <v>132.08961802928613</v>
      </c>
      <c r="M24" s="155">
        <f t="shared" si="14"/>
        <v>45.811869753085048</v>
      </c>
      <c r="N24" s="151">
        <f t="shared" si="14"/>
        <v>0</v>
      </c>
      <c r="O24" s="152">
        <f t="shared" si="14"/>
        <v>0</v>
      </c>
      <c r="P24" s="202">
        <f t="shared" si="14"/>
        <v>2.718048531722288</v>
      </c>
      <c r="S24" s="121"/>
      <c r="T24" s="121"/>
      <c r="U24" s="204"/>
    </row>
    <row r="25" spans="1:21" s="1" customFormat="1" x14ac:dyDescent="0.25">
      <c r="B25" s="205" t="s">
        <v>292</v>
      </c>
      <c r="C25" s="206" t="s">
        <v>293</v>
      </c>
      <c r="D25" s="207">
        <f t="shared" si="13"/>
        <v>452.32011</v>
      </c>
      <c r="E25" s="208">
        <f>E29-E30-E31-E35-E38-E39-E58-E59-E89</f>
        <v>29.225179999999998</v>
      </c>
      <c r="F25" s="205">
        <f t="shared" ref="F25:F30" si="15">SUM(G25:I25)</f>
        <v>179.53829000000002</v>
      </c>
      <c r="G25" s="209">
        <f>G29-G30-G31-G35-G38-G39-G58-G59-G89</f>
        <v>19.216369999999991</v>
      </c>
      <c r="H25" s="210">
        <f>H29-H30-H31-H35-H38-H39-H58-H59-H89</f>
        <v>97.499190000000027</v>
      </c>
      <c r="I25" s="211">
        <f>I29-I30-I31-I35-I38-I39-I58-I59-I89</f>
        <v>62.82273</v>
      </c>
      <c r="J25" s="205">
        <f t="shared" ref="J25:J56" si="16">SUM(K25:M25)</f>
        <v>241.3939</v>
      </c>
      <c r="K25" s="209">
        <f t="shared" ref="K25:P25" si="17">K29-K30-K31-K35-K38-K39-K58-K59-K89</f>
        <v>128.72971999999999</v>
      </c>
      <c r="L25" s="210">
        <f t="shared" si="17"/>
        <v>83.418420000000026</v>
      </c>
      <c r="M25" s="210">
        <f t="shared" si="17"/>
        <v>29.245760000000001</v>
      </c>
      <c r="N25" s="207">
        <f t="shared" si="17"/>
        <v>0</v>
      </c>
      <c r="O25" s="208">
        <f t="shared" si="17"/>
        <v>0</v>
      </c>
      <c r="P25" s="205">
        <f t="shared" si="17"/>
        <v>2.1627399999999999</v>
      </c>
      <c r="S25" s="121"/>
      <c r="T25" s="121"/>
      <c r="U25" s="204"/>
    </row>
    <row r="26" spans="1:21" s="1" customFormat="1" x14ac:dyDescent="0.25">
      <c r="B26" s="205" t="s">
        <v>294</v>
      </c>
      <c r="C26" s="212" t="s">
        <v>295</v>
      </c>
      <c r="D26" s="213">
        <f t="shared" si="13"/>
        <v>116.86077</v>
      </c>
      <c r="E26" s="214">
        <f>E90-E92-E140</f>
        <v>1.246839136</v>
      </c>
      <c r="F26" s="215">
        <f t="shared" si="15"/>
        <v>51.862527494000005</v>
      </c>
      <c r="G26" s="216">
        <f>G90-G92-G140</f>
        <v>8.139754881</v>
      </c>
      <c r="H26" s="217">
        <f>H90-H92-H140</f>
        <v>29.089292720000003</v>
      </c>
      <c r="I26" s="218">
        <f>I90-I92-I140</f>
        <v>14.633479892999997</v>
      </c>
      <c r="J26" s="215">
        <f t="shared" si="16"/>
        <v>63.751403370000006</v>
      </c>
      <c r="K26" s="216">
        <f t="shared" ref="K26:P26" si="18">K90-K92-K140</f>
        <v>34.889788068999998</v>
      </c>
      <c r="L26" s="217">
        <f t="shared" si="18"/>
        <v>21.659921688000001</v>
      </c>
      <c r="M26" s="217">
        <f t="shared" si="18"/>
        <v>7.2016936129999998</v>
      </c>
      <c r="N26" s="213">
        <f t="shared" si="18"/>
        <v>0</v>
      </c>
      <c r="O26" s="214">
        <f t="shared" si="18"/>
        <v>0</v>
      </c>
      <c r="P26" s="215">
        <f t="shared" si="18"/>
        <v>0</v>
      </c>
    </row>
    <row r="27" spans="1:21" s="1" customFormat="1" ht="15.75" thickBot="1" x14ac:dyDescent="0.3">
      <c r="B27" s="205" t="s">
        <v>296</v>
      </c>
      <c r="C27" s="219" t="s">
        <v>297</v>
      </c>
      <c r="D27" s="220">
        <f t="shared" si="13"/>
        <v>149.35982999999999</v>
      </c>
      <c r="E27" s="221">
        <f>E186</f>
        <v>7.8240436691537747</v>
      </c>
      <c r="F27" s="222">
        <f t="shared" si="15"/>
        <v>60.808996352756154</v>
      </c>
      <c r="G27" s="223">
        <f>G186</f>
        <v>7.1204832483745939</v>
      </c>
      <c r="H27" s="224">
        <f>H186</f>
        <v>32.824020166039411</v>
      </c>
      <c r="I27" s="225">
        <f>I186</f>
        <v>20.864492938342153</v>
      </c>
      <c r="J27" s="222">
        <f t="shared" si="16"/>
        <v>80.171481446367764</v>
      </c>
      <c r="K27" s="223">
        <f t="shared" ref="K27:P27" si="19">K186</f>
        <v>43.795788964996603</v>
      </c>
      <c r="L27" s="224">
        <f t="shared" si="19"/>
        <v>27.011276341286106</v>
      </c>
      <c r="M27" s="224">
        <f t="shared" si="19"/>
        <v>9.3644161400850514</v>
      </c>
      <c r="N27" s="220">
        <f t="shared" si="19"/>
        <v>0</v>
      </c>
      <c r="O27" s="221">
        <f t="shared" si="19"/>
        <v>0</v>
      </c>
      <c r="P27" s="222">
        <f t="shared" si="19"/>
        <v>0.55530853172228833</v>
      </c>
    </row>
    <row r="28" spans="1:21" s="1" customFormat="1" ht="16.5" thickTop="1" thickBot="1" x14ac:dyDescent="0.3">
      <c r="B28" s="202" t="s">
        <v>298</v>
      </c>
      <c r="C28" s="203" t="s">
        <v>299</v>
      </c>
      <c r="D28" s="195">
        <f t="shared" si="13"/>
        <v>107.46434999999998</v>
      </c>
      <c r="E28" s="196">
        <f>E30+E31+E35+E38+E39+E58+E59+E89+E92+E140</f>
        <v>0</v>
      </c>
      <c r="F28" s="194">
        <f t="shared" si="15"/>
        <v>68.390979999999985</v>
      </c>
      <c r="G28" s="197">
        <f>G30+G31+G35+G38+G39+G58+G59+G89+G92+G140</f>
        <v>20.20016</v>
      </c>
      <c r="H28" s="198">
        <f>H30+H31+H35+H38+H39+H58+H59+H89+H92+H140</f>
        <v>44.928929999999994</v>
      </c>
      <c r="I28" s="199">
        <f>I30+I31+I35+I38+I39+I58+I59+I89+I92+I140</f>
        <v>3.2618900000000002</v>
      </c>
      <c r="J28" s="194">
        <f t="shared" si="16"/>
        <v>39.073369999999997</v>
      </c>
      <c r="K28" s="197">
        <f t="shared" ref="K28:P28" si="20">K30+K31+K35+K38+K39+K58+K59+K89+K92+K140</f>
        <v>7.8976100000000002</v>
      </c>
      <c r="L28" s="198">
        <f t="shared" si="20"/>
        <v>25.008980000000001</v>
      </c>
      <c r="M28" s="198">
        <f t="shared" si="20"/>
        <v>6.1667799999999993</v>
      </c>
      <c r="N28" s="195">
        <f t="shared" si="20"/>
        <v>0</v>
      </c>
      <c r="O28" s="196">
        <f t="shared" si="20"/>
        <v>0</v>
      </c>
      <c r="P28" s="194">
        <f t="shared" si="20"/>
        <v>0</v>
      </c>
    </row>
    <row r="29" spans="1:21" s="1" customFormat="1" ht="45" customHeight="1" thickTop="1" thickBot="1" x14ac:dyDescent="0.3">
      <c r="B29" s="133" t="s">
        <v>53</v>
      </c>
      <c r="C29" s="134" t="s">
        <v>300</v>
      </c>
      <c r="D29" s="226">
        <f t="shared" si="13"/>
        <v>559.78446000000008</v>
      </c>
      <c r="E29" s="227">
        <f>E30+E31+E34+E37+E40+E43+E45+E51+E52+E57+E63+E66+E81+E82</f>
        <v>29.225179999999998</v>
      </c>
      <c r="F29" s="133">
        <f t="shared" si="15"/>
        <v>247.92927000000003</v>
      </c>
      <c r="G29" s="228">
        <f>G30+G31+G34+G37+G40+G43+G45+G51+G52+G57+G63+G66+G81+G82</f>
        <v>39.416529999999995</v>
      </c>
      <c r="H29" s="229">
        <f>H30+H31+H34+H37+H40+H43+H45+H51+H52+H57+H63+H66+H81+H82</f>
        <v>142.42812000000004</v>
      </c>
      <c r="I29" s="230">
        <f>I30+I31+I34+I37+I40+I43+I45+I51+I52+I57+I63+I66+I81+I82</f>
        <v>66.084620000000001</v>
      </c>
      <c r="J29" s="133">
        <f t="shared" si="16"/>
        <v>280.46726999999998</v>
      </c>
      <c r="K29" s="228">
        <f t="shared" ref="K29:P29" si="21">K30+K31+K34+K37+K40+K43+K45+K51+K52+K57+K63+K66+K81+K82</f>
        <v>136.62733</v>
      </c>
      <c r="L29" s="229">
        <f t="shared" si="21"/>
        <v>108.42740000000002</v>
      </c>
      <c r="M29" s="229">
        <f t="shared" si="21"/>
        <v>35.41254</v>
      </c>
      <c r="N29" s="226">
        <f t="shared" si="21"/>
        <v>0</v>
      </c>
      <c r="O29" s="227">
        <f t="shared" si="21"/>
        <v>0</v>
      </c>
      <c r="P29" s="133">
        <f t="shared" si="21"/>
        <v>2.1627399999999999</v>
      </c>
      <c r="Q29" s="231"/>
      <c r="R29" s="231"/>
      <c r="S29" s="204"/>
    </row>
    <row r="30" spans="1:21" s="1" customFormat="1" ht="16.5" thickTop="1" thickBot="1" x14ac:dyDescent="0.3">
      <c r="B30" s="141" t="s">
        <v>55</v>
      </c>
      <c r="C30" s="142" t="s">
        <v>269</v>
      </c>
      <c r="D30" s="143">
        <f t="shared" si="13"/>
        <v>0</v>
      </c>
      <c r="E30" s="144">
        <v>0</v>
      </c>
      <c r="F30" s="145">
        <f t="shared" si="15"/>
        <v>0</v>
      </c>
      <c r="G30" s="232"/>
      <c r="H30" s="233"/>
      <c r="I30" s="234"/>
      <c r="J30" s="153">
        <f t="shared" si="16"/>
        <v>0</v>
      </c>
      <c r="K30" s="232"/>
      <c r="L30" s="233"/>
      <c r="M30" s="233"/>
      <c r="N30" s="235"/>
      <c r="O30" s="236"/>
      <c r="P30" s="237"/>
    </row>
    <row r="31" spans="1:21" s="1" customFormat="1" x14ac:dyDescent="0.25">
      <c r="B31" s="149" t="s">
        <v>141</v>
      </c>
      <c r="C31" s="238" t="s">
        <v>270</v>
      </c>
      <c r="D31" s="151">
        <f t="shared" si="13"/>
        <v>0</v>
      </c>
      <c r="E31" s="152">
        <f>SUM(E32:E33)</f>
        <v>0</v>
      </c>
      <c r="F31" s="153">
        <v>0</v>
      </c>
      <c r="G31" s="154">
        <f>SUM(G32:G33)</f>
        <v>0</v>
      </c>
      <c r="H31" s="155">
        <f>SUM(H32:H33)</f>
        <v>0</v>
      </c>
      <c r="I31" s="156">
        <f>SUM(I32:I33)</f>
        <v>0</v>
      </c>
      <c r="J31" s="153">
        <f t="shared" si="16"/>
        <v>0</v>
      </c>
      <c r="K31" s="154">
        <f t="shared" ref="K31:P31" si="22">SUM(K32:K33)</f>
        <v>0</v>
      </c>
      <c r="L31" s="155">
        <f t="shared" si="22"/>
        <v>0</v>
      </c>
      <c r="M31" s="155">
        <f t="shared" si="22"/>
        <v>0</v>
      </c>
      <c r="N31" s="151">
        <f t="shared" si="22"/>
        <v>0</v>
      </c>
      <c r="O31" s="152">
        <f t="shared" si="22"/>
        <v>0</v>
      </c>
      <c r="P31" s="153">
        <f t="shared" si="22"/>
        <v>0</v>
      </c>
    </row>
    <row r="32" spans="1:21" s="1" customFormat="1" x14ac:dyDescent="0.25">
      <c r="B32" s="166" t="s">
        <v>143</v>
      </c>
      <c r="C32" s="167" t="s">
        <v>270</v>
      </c>
      <c r="D32" s="207">
        <f>J32+N32</f>
        <v>0</v>
      </c>
      <c r="E32" s="239"/>
      <c r="F32" s="240"/>
      <c r="G32" s="241"/>
      <c r="H32" s="96"/>
      <c r="I32" s="242"/>
      <c r="J32" s="205">
        <f t="shared" si="16"/>
        <v>0</v>
      </c>
      <c r="K32" s="241"/>
      <c r="L32" s="96"/>
      <c r="M32" s="96"/>
      <c r="N32" s="243"/>
      <c r="O32" s="239"/>
      <c r="P32" s="240"/>
    </row>
    <row r="33" spans="2:19" s="1" customFormat="1" ht="15.75" thickBot="1" x14ac:dyDescent="0.3">
      <c r="B33" s="166" t="s">
        <v>145</v>
      </c>
      <c r="C33" s="167" t="s">
        <v>301</v>
      </c>
      <c r="D33" s="207">
        <f>J33+N33</f>
        <v>0</v>
      </c>
      <c r="E33" s="239"/>
      <c r="F33" s="240"/>
      <c r="G33" s="241"/>
      <c r="H33" s="96"/>
      <c r="I33" s="242"/>
      <c r="J33" s="205">
        <f t="shared" si="16"/>
        <v>0</v>
      </c>
      <c r="K33" s="241"/>
      <c r="L33" s="96"/>
      <c r="M33" s="96"/>
      <c r="N33" s="243"/>
      <c r="O33" s="239"/>
      <c r="P33" s="240"/>
    </row>
    <row r="34" spans="2:19" s="1" customFormat="1" x14ac:dyDescent="0.25">
      <c r="B34" s="149" t="s">
        <v>302</v>
      </c>
      <c r="C34" s="238" t="s">
        <v>303</v>
      </c>
      <c r="D34" s="151">
        <f t="shared" ref="D34:D65" si="23">E34+F34+J34+N34+O34+P34</f>
        <v>73.964619999999996</v>
      </c>
      <c r="E34" s="152">
        <f>E35+E36</f>
        <v>0</v>
      </c>
      <c r="F34" s="153">
        <f>F35+F36</f>
        <v>34.622120000000002</v>
      </c>
      <c r="G34" s="154">
        <f>G35+G36</f>
        <v>8.0972100000000005</v>
      </c>
      <c r="H34" s="155">
        <f>H35+H36</f>
        <v>22.472809999999999</v>
      </c>
      <c r="I34" s="156">
        <f>I35+I36</f>
        <v>4.0521000000000003</v>
      </c>
      <c r="J34" s="153">
        <f t="shared" si="16"/>
        <v>39.342500000000001</v>
      </c>
      <c r="K34" s="154">
        <f t="shared" ref="K34:P34" si="24">SUM(K35:K36)</f>
        <v>7.9466100000000006</v>
      </c>
      <c r="L34" s="155">
        <f t="shared" si="24"/>
        <v>27.407899999999998</v>
      </c>
      <c r="M34" s="155">
        <f t="shared" si="24"/>
        <v>3.9879899999999999</v>
      </c>
      <c r="N34" s="151">
        <f t="shared" si="24"/>
        <v>0</v>
      </c>
      <c r="O34" s="152">
        <f t="shared" si="24"/>
        <v>0</v>
      </c>
      <c r="P34" s="153">
        <f t="shared" si="24"/>
        <v>0</v>
      </c>
      <c r="S34" s="204"/>
    </row>
    <row r="35" spans="2:19" s="1" customFormat="1" ht="33" customHeight="1" x14ac:dyDescent="0.25">
      <c r="B35" s="166" t="s">
        <v>304</v>
      </c>
      <c r="C35" s="167" t="s">
        <v>272</v>
      </c>
      <c r="D35" s="207">
        <f t="shared" si="23"/>
        <v>64.62863999999999</v>
      </c>
      <c r="E35" s="244"/>
      <c r="F35" s="205">
        <f t="shared" ref="F35:F66" si="25">SUM(G35:I35)</f>
        <v>29.100020000000001</v>
      </c>
      <c r="G35" s="1271">
        <v>7.2611600000000003</v>
      </c>
      <c r="H35" s="1270">
        <v>18.576969999999999</v>
      </c>
      <c r="I35" s="1272">
        <v>3.2618900000000002</v>
      </c>
      <c r="J35" s="205">
        <f t="shared" si="16"/>
        <v>35.528619999999997</v>
      </c>
      <c r="K35" s="1276">
        <v>7.8976100000000002</v>
      </c>
      <c r="L35" s="1275">
        <v>24.06298</v>
      </c>
      <c r="M35" s="1275">
        <v>3.5680299999999998</v>
      </c>
      <c r="N35" s="243"/>
      <c r="O35" s="239"/>
      <c r="P35" s="240"/>
    </row>
    <row r="36" spans="2:19" s="1" customFormat="1" ht="26.25" customHeight="1" thickBot="1" x14ac:dyDescent="0.3">
      <c r="B36" s="166" t="s">
        <v>305</v>
      </c>
      <c r="C36" s="167" t="s">
        <v>306</v>
      </c>
      <c r="D36" s="207">
        <f t="shared" si="23"/>
        <v>9.3359799999999993</v>
      </c>
      <c r="E36" s="239"/>
      <c r="F36" s="205">
        <f t="shared" si="25"/>
        <v>5.5221</v>
      </c>
      <c r="G36" s="1271">
        <v>0.83604999999999996</v>
      </c>
      <c r="H36" s="1273">
        <v>3.8958400000000002</v>
      </c>
      <c r="I36" s="1274">
        <v>0.79020999999999997</v>
      </c>
      <c r="J36" s="205">
        <f t="shared" si="16"/>
        <v>3.8138800000000002</v>
      </c>
      <c r="K36" s="1278">
        <v>4.9000000000000002E-2</v>
      </c>
      <c r="L36" s="1277">
        <v>3.3449200000000001</v>
      </c>
      <c r="M36" s="1277">
        <v>0.41996</v>
      </c>
      <c r="N36" s="243"/>
      <c r="O36" s="239"/>
      <c r="P36" s="240"/>
    </row>
    <row r="37" spans="2:19" s="1" customFormat="1" x14ac:dyDescent="0.25">
      <c r="B37" s="149" t="s">
        <v>307</v>
      </c>
      <c r="C37" s="238" t="s">
        <v>273</v>
      </c>
      <c r="D37" s="151">
        <f t="shared" si="23"/>
        <v>28.950709999999997</v>
      </c>
      <c r="E37" s="152">
        <f>E38+E39</f>
        <v>0</v>
      </c>
      <c r="F37" s="153">
        <f t="shared" si="25"/>
        <v>26.351959999999998</v>
      </c>
      <c r="G37" s="154">
        <f>G38</f>
        <v>0</v>
      </c>
      <c r="H37" s="155">
        <f>H38</f>
        <v>26.351959999999998</v>
      </c>
      <c r="I37" s="156">
        <f>I38</f>
        <v>0</v>
      </c>
      <c r="J37" s="153">
        <f t="shared" si="16"/>
        <v>2.5987499999999999</v>
      </c>
      <c r="K37" s="154">
        <f t="shared" ref="K37:P37" si="26">SUM(K38:K39)</f>
        <v>0</v>
      </c>
      <c r="L37" s="155">
        <f t="shared" si="26"/>
        <v>0</v>
      </c>
      <c r="M37" s="155">
        <f t="shared" si="26"/>
        <v>2.5987499999999999</v>
      </c>
      <c r="N37" s="151">
        <f t="shared" si="26"/>
        <v>0</v>
      </c>
      <c r="O37" s="152">
        <f t="shared" si="26"/>
        <v>0</v>
      </c>
      <c r="P37" s="153">
        <f t="shared" si="26"/>
        <v>0</v>
      </c>
    </row>
    <row r="38" spans="2:19" s="1" customFormat="1" x14ac:dyDescent="0.25">
      <c r="B38" s="166" t="s">
        <v>308</v>
      </c>
      <c r="C38" s="167" t="s">
        <v>309</v>
      </c>
      <c r="D38" s="207">
        <f t="shared" si="23"/>
        <v>28.950709999999997</v>
      </c>
      <c r="E38" s="244"/>
      <c r="F38" s="205">
        <f t="shared" si="25"/>
        <v>26.351959999999998</v>
      </c>
      <c r="G38" s="247"/>
      <c r="H38" s="1279">
        <v>26.351959999999998</v>
      </c>
      <c r="I38" s="246"/>
      <c r="J38" s="205">
        <f t="shared" si="16"/>
        <v>2.5987499999999999</v>
      </c>
      <c r="K38" s="247"/>
      <c r="L38" s="245"/>
      <c r="M38" s="1280">
        <v>2.5987499999999999</v>
      </c>
      <c r="N38" s="248"/>
      <c r="O38" s="239"/>
      <c r="P38" s="240"/>
    </row>
    <row r="39" spans="2:19" s="1" customFormat="1" ht="15.75" thickBot="1" x14ac:dyDescent="0.3">
      <c r="B39" s="166" t="s">
        <v>310</v>
      </c>
      <c r="C39" s="167" t="s">
        <v>311</v>
      </c>
      <c r="D39" s="207">
        <f t="shared" si="23"/>
        <v>0</v>
      </c>
      <c r="E39" s="244"/>
      <c r="F39" s="205">
        <f t="shared" si="25"/>
        <v>0</v>
      </c>
      <c r="G39" s="247"/>
      <c r="H39" s="245"/>
      <c r="I39" s="246"/>
      <c r="J39" s="205">
        <f t="shared" si="16"/>
        <v>0</v>
      </c>
      <c r="K39" s="247"/>
      <c r="L39" s="245"/>
      <c r="M39" s="245"/>
      <c r="N39" s="248"/>
      <c r="O39" s="239"/>
      <c r="P39" s="240"/>
    </row>
    <row r="40" spans="2:19" s="1" customFormat="1" x14ac:dyDescent="0.25">
      <c r="B40" s="149" t="s">
        <v>312</v>
      </c>
      <c r="C40" s="238" t="s">
        <v>313</v>
      </c>
      <c r="D40" s="151">
        <f t="shared" si="23"/>
        <v>1.5237400000000001</v>
      </c>
      <c r="E40" s="152">
        <f>SUM(E41:E42)</f>
        <v>0.16872000000000001</v>
      </c>
      <c r="F40" s="153">
        <f t="shared" si="25"/>
        <v>0</v>
      </c>
      <c r="G40" s="154">
        <f>SUM(G41:G42)</f>
        <v>0</v>
      </c>
      <c r="H40" s="155">
        <f>SUM(H41:H42)</f>
        <v>0</v>
      </c>
      <c r="I40" s="156">
        <f>SUM(I41:I42)</f>
        <v>0</v>
      </c>
      <c r="J40" s="153">
        <f t="shared" si="16"/>
        <v>1.3137400000000001</v>
      </c>
      <c r="K40" s="154">
        <f t="shared" ref="K40:P40" si="27">SUM(K41:K42)</f>
        <v>0.51512999999999998</v>
      </c>
      <c r="L40" s="155">
        <f t="shared" si="27"/>
        <v>0</v>
      </c>
      <c r="M40" s="155">
        <f t="shared" si="27"/>
        <v>0.79861000000000004</v>
      </c>
      <c r="N40" s="151">
        <f t="shared" si="27"/>
        <v>0</v>
      </c>
      <c r="O40" s="152">
        <f t="shared" si="27"/>
        <v>0</v>
      </c>
      <c r="P40" s="153">
        <f t="shared" si="27"/>
        <v>4.1279999999999997E-2</v>
      </c>
    </row>
    <row r="41" spans="2:19" s="1" customFormat="1" ht="31.5" customHeight="1" x14ac:dyDescent="0.25">
      <c r="B41" s="166" t="s">
        <v>314</v>
      </c>
      <c r="C41" s="167" t="s">
        <v>315</v>
      </c>
      <c r="D41" s="207">
        <f t="shared" si="23"/>
        <v>1.5237400000000001</v>
      </c>
      <c r="E41" s="1281">
        <v>0.16872000000000001</v>
      </c>
      <c r="F41" s="205">
        <f t="shared" si="25"/>
        <v>0</v>
      </c>
      <c r="G41" s="241"/>
      <c r="H41" s="96"/>
      <c r="I41" s="242"/>
      <c r="J41" s="205">
        <f t="shared" si="16"/>
        <v>1.3137400000000001</v>
      </c>
      <c r="K41" s="1283">
        <v>0.51512999999999998</v>
      </c>
      <c r="L41" s="1282"/>
      <c r="M41" s="1282">
        <v>0.79861000000000004</v>
      </c>
      <c r="N41" s="243"/>
      <c r="O41" s="239"/>
      <c r="P41" s="240">
        <v>4.1279999999999997E-2</v>
      </c>
    </row>
    <row r="42" spans="2:19" s="1" customFormat="1" ht="15.75" thickBot="1" x14ac:dyDescent="0.3">
      <c r="B42" s="166" t="s">
        <v>316</v>
      </c>
      <c r="C42" s="167" t="s">
        <v>317</v>
      </c>
      <c r="D42" s="207">
        <f t="shared" si="23"/>
        <v>0</v>
      </c>
      <c r="E42" s="239"/>
      <c r="F42" s="205">
        <f t="shared" si="25"/>
        <v>0</v>
      </c>
      <c r="G42" s="241"/>
      <c r="H42" s="96"/>
      <c r="I42" s="242"/>
      <c r="J42" s="205">
        <f t="shared" si="16"/>
        <v>0</v>
      </c>
      <c r="K42" s="241"/>
      <c r="L42" s="96"/>
      <c r="M42" s="96"/>
      <c r="N42" s="243"/>
      <c r="O42" s="239"/>
      <c r="P42" s="240"/>
    </row>
    <row r="43" spans="2:19" s="1" customFormat="1" x14ac:dyDescent="0.25">
      <c r="B43" s="149" t="s">
        <v>318</v>
      </c>
      <c r="C43" s="238" t="s">
        <v>319</v>
      </c>
      <c r="D43" s="151">
        <f t="shared" si="23"/>
        <v>0</v>
      </c>
      <c r="E43" s="152">
        <f>E44</f>
        <v>0</v>
      </c>
      <c r="F43" s="153">
        <f t="shared" si="25"/>
        <v>0</v>
      </c>
      <c r="G43" s="154">
        <f>G44</f>
        <v>0</v>
      </c>
      <c r="H43" s="155">
        <f>H44</f>
        <v>0</v>
      </c>
      <c r="I43" s="156">
        <f>I44</f>
        <v>0</v>
      </c>
      <c r="J43" s="153">
        <f t="shared" si="16"/>
        <v>0</v>
      </c>
      <c r="K43" s="154">
        <f t="shared" ref="K43:P43" si="28">K44</f>
        <v>0</v>
      </c>
      <c r="L43" s="155">
        <f t="shared" si="28"/>
        <v>0</v>
      </c>
      <c r="M43" s="155">
        <f t="shared" si="28"/>
        <v>0</v>
      </c>
      <c r="N43" s="151">
        <f t="shared" si="28"/>
        <v>0</v>
      </c>
      <c r="O43" s="152">
        <f t="shared" si="28"/>
        <v>0</v>
      </c>
      <c r="P43" s="153">
        <f t="shared" si="28"/>
        <v>0</v>
      </c>
    </row>
    <row r="44" spans="2:19" s="1" customFormat="1" ht="15.75" thickBot="1" x14ac:dyDescent="0.3">
      <c r="B44" s="166" t="s">
        <v>320</v>
      </c>
      <c r="C44" s="167" t="s">
        <v>321</v>
      </c>
      <c r="D44" s="207">
        <f t="shared" si="23"/>
        <v>0</v>
      </c>
      <c r="E44" s="239"/>
      <c r="F44" s="205">
        <f t="shared" si="25"/>
        <v>0</v>
      </c>
      <c r="G44" s="241"/>
      <c r="H44" s="96"/>
      <c r="I44" s="242"/>
      <c r="J44" s="205">
        <f t="shared" si="16"/>
        <v>0</v>
      </c>
      <c r="K44" s="241"/>
      <c r="L44" s="96"/>
      <c r="M44" s="96"/>
      <c r="N44" s="243"/>
      <c r="O44" s="239"/>
      <c r="P44" s="240"/>
    </row>
    <row r="45" spans="2:19" s="1" customFormat="1" x14ac:dyDescent="0.25">
      <c r="B45" s="149" t="s">
        <v>322</v>
      </c>
      <c r="C45" s="238" t="s">
        <v>323</v>
      </c>
      <c r="D45" s="151">
        <f t="shared" si="23"/>
        <v>83.337159999999997</v>
      </c>
      <c r="E45" s="152">
        <f>SUM(E46:E50)</f>
        <v>1.54976</v>
      </c>
      <c r="F45" s="153">
        <f t="shared" si="25"/>
        <v>8.8468300000000006</v>
      </c>
      <c r="G45" s="154">
        <f>SUM(G46:G50)</f>
        <v>3.6165499999999997</v>
      </c>
      <c r="H45" s="155">
        <f>SUM(H46:H50)</f>
        <v>4.3954199999999997</v>
      </c>
      <c r="I45" s="156">
        <f>SUM(I46:I50)</f>
        <v>0.83486000000000005</v>
      </c>
      <c r="J45" s="153">
        <f t="shared" si="16"/>
        <v>72.940569999999994</v>
      </c>
      <c r="K45" s="154">
        <f t="shared" ref="K45:P45" si="29">SUM(K46:K50)</f>
        <v>61.890499999999996</v>
      </c>
      <c r="L45" s="155">
        <f t="shared" si="29"/>
        <v>7.0655100000000006</v>
      </c>
      <c r="M45" s="155">
        <f t="shared" si="29"/>
        <v>3.9845600000000001</v>
      </c>
      <c r="N45" s="151">
        <f t="shared" si="29"/>
        <v>0</v>
      </c>
      <c r="O45" s="152">
        <f t="shared" si="29"/>
        <v>0</v>
      </c>
      <c r="P45" s="153">
        <f t="shared" si="29"/>
        <v>0</v>
      </c>
    </row>
    <row r="46" spans="2:19" s="1" customFormat="1" x14ac:dyDescent="0.25">
      <c r="B46" s="166" t="s">
        <v>324</v>
      </c>
      <c r="C46" s="167" t="s">
        <v>277</v>
      </c>
      <c r="D46" s="207">
        <f t="shared" si="23"/>
        <v>9.9573299999999989</v>
      </c>
      <c r="E46" s="1284">
        <v>0.35504000000000002</v>
      </c>
      <c r="F46" s="205">
        <f t="shared" si="25"/>
        <v>3.7562199999999999</v>
      </c>
      <c r="G46" s="1286">
        <v>0.17293</v>
      </c>
      <c r="H46" s="1285">
        <v>2.7703099999999998</v>
      </c>
      <c r="I46" s="1287">
        <v>0.81298000000000004</v>
      </c>
      <c r="J46" s="205">
        <f t="shared" si="16"/>
        <v>5.8460699999999992</v>
      </c>
      <c r="K46" s="1289">
        <v>2.35514</v>
      </c>
      <c r="L46" s="1288">
        <v>2.04169</v>
      </c>
      <c r="M46" s="1288">
        <v>1.4492400000000001</v>
      </c>
      <c r="N46" s="243"/>
      <c r="O46" s="239"/>
      <c r="P46" s="240"/>
    </row>
    <row r="47" spans="2:19" s="1" customFormat="1" x14ac:dyDescent="0.25">
      <c r="B47" s="166" t="s">
        <v>325</v>
      </c>
      <c r="C47" s="167" t="s">
        <v>281</v>
      </c>
      <c r="D47" s="207">
        <f t="shared" si="23"/>
        <v>10.051819999999999</v>
      </c>
      <c r="E47" s="1284">
        <v>0.51424999999999998</v>
      </c>
      <c r="F47" s="205">
        <f t="shared" si="25"/>
        <v>3.9895100000000001</v>
      </c>
      <c r="G47" s="1286">
        <v>2.9314</v>
      </c>
      <c r="H47" s="1285">
        <v>1.0581100000000001</v>
      </c>
      <c r="I47" s="1287"/>
      <c r="J47" s="205">
        <f t="shared" si="16"/>
        <v>5.5480599999999995</v>
      </c>
      <c r="K47" s="1289">
        <v>0.34558</v>
      </c>
      <c r="L47" s="1288">
        <v>3.0923099999999999</v>
      </c>
      <c r="M47" s="1288">
        <v>2.1101700000000001</v>
      </c>
      <c r="N47" s="243"/>
      <c r="O47" s="239"/>
      <c r="P47" s="240"/>
    </row>
    <row r="48" spans="2:19" s="1" customFormat="1" x14ac:dyDescent="0.25">
      <c r="B48" s="166" t="s">
        <v>326</v>
      </c>
      <c r="C48" s="249" t="s">
        <v>327</v>
      </c>
      <c r="D48" s="207">
        <f t="shared" si="23"/>
        <v>1.9872700000000001</v>
      </c>
      <c r="E48" s="1284">
        <v>0.68047000000000002</v>
      </c>
      <c r="F48" s="205">
        <f t="shared" si="25"/>
        <v>0.16919999999999999</v>
      </c>
      <c r="G48" s="1286">
        <v>0.16259999999999999</v>
      </c>
      <c r="H48" s="1285">
        <v>6.6E-3</v>
      </c>
      <c r="I48" s="1287"/>
      <c r="J48" s="205">
        <f t="shared" si="16"/>
        <v>1.1375999999999999</v>
      </c>
      <c r="K48" s="1289"/>
      <c r="L48" s="1288">
        <v>1.131</v>
      </c>
      <c r="M48" s="1288">
        <v>6.6E-3</v>
      </c>
      <c r="N48" s="243"/>
      <c r="O48" s="239"/>
      <c r="P48" s="240"/>
    </row>
    <row r="49" spans="2:16" s="1" customFormat="1" x14ac:dyDescent="0.25">
      <c r="B49" s="166" t="s">
        <v>328</v>
      </c>
      <c r="C49" s="250" t="s">
        <v>279</v>
      </c>
      <c r="D49" s="207">
        <f t="shared" si="23"/>
        <v>61.340740000000004</v>
      </c>
      <c r="E49" s="1284"/>
      <c r="F49" s="205">
        <f t="shared" si="25"/>
        <v>0.93190000000000006</v>
      </c>
      <c r="G49" s="1286">
        <v>0.34961999999999999</v>
      </c>
      <c r="H49" s="1285">
        <v>0.56040000000000001</v>
      </c>
      <c r="I49" s="1287">
        <v>2.188E-2</v>
      </c>
      <c r="J49" s="205">
        <f t="shared" si="16"/>
        <v>60.408840000000005</v>
      </c>
      <c r="K49" s="1289">
        <v>59.189779999999999</v>
      </c>
      <c r="L49" s="1288">
        <v>0.80051000000000005</v>
      </c>
      <c r="M49" s="1288">
        <v>0.41854999999999998</v>
      </c>
      <c r="N49" s="243"/>
      <c r="O49" s="239"/>
      <c r="P49" s="240"/>
    </row>
    <row r="50" spans="2:16" s="1" customFormat="1" ht="29.25" customHeight="1" thickBot="1" x14ac:dyDescent="0.3">
      <c r="B50" s="166" t="s">
        <v>329</v>
      </c>
      <c r="C50" s="250" t="s">
        <v>330</v>
      </c>
      <c r="D50" s="207">
        <f t="shared" si="23"/>
        <v>0</v>
      </c>
      <c r="E50" s="1284"/>
      <c r="F50" s="205">
        <f t="shared" si="25"/>
        <v>0</v>
      </c>
      <c r="G50" s="1286"/>
      <c r="H50" s="1285"/>
      <c r="I50" s="1287"/>
      <c r="J50" s="205">
        <f t="shared" si="16"/>
        <v>0</v>
      </c>
      <c r="K50" s="1289"/>
      <c r="L50" s="1288"/>
      <c r="M50" s="1288"/>
      <c r="N50" s="243"/>
      <c r="O50" s="239"/>
      <c r="P50" s="240"/>
    </row>
    <row r="51" spans="2:16" s="1" customFormat="1" ht="15.75" thickBot="1" x14ac:dyDescent="0.3">
      <c r="B51" s="149" t="s">
        <v>331</v>
      </c>
      <c r="C51" s="238" t="s">
        <v>332</v>
      </c>
      <c r="D51" s="151">
        <f t="shared" si="23"/>
        <v>74.929689999999994</v>
      </c>
      <c r="E51" s="251"/>
      <c r="F51" s="153">
        <f t="shared" si="25"/>
        <v>37.299980000000005</v>
      </c>
      <c r="G51" s="252">
        <v>2.69916</v>
      </c>
      <c r="H51" s="253">
        <v>14.512729999999999</v>
      </c>
      <c r="I51" s="254">
        <v>20.088090000000001</v>
      </c>
      <c r="J51" s="153">
        <f t="shared" si="16"/>
        <v>37.629709999999996</v>
      </c>
      <c r="K51" s="252">
        <v>34.761989999999997</v>
      </c>
      <c r="L51" s="253">
        <v>2.3061199999999999</v>
      </c>
      <c r="M51" s="253">
        <v>0.56159999999999999</v>
      </c>
      <c r="N51" s="255"/>
      <c r="O51" s="256"/>
      <c r="P51" s="257"/>
    </row>
    <row r="52" spans="2:16" s="1" customFormat="1" x14ac:dyDescent="0.25">
      <c r="B52" s="149" t="s">
        <v>333</v>
      </c>
      <c r="C52" s="238" t="s">
        <v>334</v>
      </c>
      <c r="D52" s="151">
        <f t="shared" si="23"/>
        <v>259.92760999999996</v>
      </c>
      <c r="E52" s="152">
        <f>SUM(E53:E56)</f>
        <v>24.959509999999998</v>
      </c>
      <c r="F52" s="153">
        <f t="shared" si="25"/>
        <v>118.93122</v>
      </c>
      <c r="G52" s="154">
        <f>SUM(G53:G56)</f>
        <v>11.83161</v>
      </c>
      <c r="H52" s="155">
        <f>SUM(H53:H56)</f>
        <v>72.918140000000008</v>
      </c>
      <c r="I52" s="156">
        <f>SUM(I53:I56)</f>
        <v>34.181469999999997</v>
      </c>
      <c r="J52" s="153">
        <f t="shared" si="16"/>
        <v>115.61968</v>
      </c>
      <c r="K52" s="154">
        <f t="shared" ref="K52:P52" si="30">SUM(K53:K56)</f>
        <v>29.53772</v>
      </c>
      <c r="L52" s="155">
        <f t="shared" si="30"/>
        <v>63.108200000000004</v>
      </c>
      <c r="M52" s="155">
        <f t="shared" si="30"/>
        <v>22.973760000000002</v>
      </c>
      <c r="N52" s="151">
        <f t="shared" si="30"/>
        <v>0</v>
      </c>
      <c r="O52" s="152">
        <f t="shared" si="30"/>
        <v>0</v>
      </c>
      <c r="P52" s="153">
        <f t="shared" si="30"/>
        <v>0.41719999999999996</v>
      </c>
    </row>
    <row r="53" spans="2:16" s="1" customFormat="1" x14ac:dyDescent="0.25">
      <c r="B53" s="258" t="s">
        <v>335</v>
      </c>
      <c r="C53" s="259" t="s">
        <v>336</v>
      </c>
      <c r="D53" s="207">
        <f t="shared" si="23"/>
        <v>255.35047</v>
      </c>
      <c r="E53" s="1290">
        <v>24.531749999999999</v>
      </c>
      <c r="F53" s="205">
        <f t="shared" si="25"/>
        <v>116.83082</v>
      </c>
      <c r="G53" s="1292">
        <v>11.62885</v>
      </c>
      <c r="H53" s="1291">
        <v>71.643600000000006</v>
      </c>
      <c r="I53" s="1293">
        <v>33.558369999999996</v>
      </c>
      <c r="J53" s="205">
        <f t="shared" si="16"/>
        <v>113.57795</v>
      </c>
      <c r="K53" s="1295">
        <v>29.031500000000001</v>
      </c>
      <c r="L53" s="1294">
        <v>61.966430000000003</v>
      </c>
      <c r="M53" s="1294">
        <v>22.580020000000001</v>
      </c>
      <c r="N53" s="243"/>
      <c r="O53" s="239"/>
      <c r="P53" s="240">
        <v>0.40994999999999998</v>
      </c>
    </row>
    <row r="54" spans="2:16" s="1" customFormat="1" x14ac:dyDescent="0.25">
      <c r="B54" s="258" t="s">
        <v>337</v>
      </c>
      <c r="C54" s="259" t="s">
        <v>338</v>
      </c>
      <c r="D54" s="207">
        <f t="shared" si="23"/>
        <v>4.4526200000000005</v>
      </c>
      <c r="E54" s="1290">
        <v>0.42775999999999997</v>
      </c>
      <c r="F54" s="205">
        <f t="shared" si="25"/>
        <v>2.03715</v>
      </c>
      <c r="G54" s="1292">
        <v>0.20276</v>
      </c>
      <c r="H54" s="1291">
        <v>1.2492399999999999</v>
      </c>
      <c r="I54" s="1293">
        <v>0.58514999999999995</v>
      </c>
      <c r="J54" s="205">
        <f t="shared" si="16"/>
        <v>1.9804600000000001</v>
      </c>
      <c r="K54" s="1295">
        <v>0.50622</v>
      </c>
      <c r="L54" s="1294">
        <v>1.0805</v>
      </c>
      <c r="M54" s="1294">
        <v>0.39373999999999998</v>
      </c>
      <c r="N54" s="243"/>
      <c r="O54" s="239"/>
      <c r="P54" s="240">
        <v>7.2500000000000004E-3</v>
      </c>
    </row>
    <row r="55" spans="2:16" s="1" customFormat="1" x14ac:dyDescent="0.25">
      <c r="B55" s="258" t="s">
        <v>339</v>
      </c>
      <c r="C55" s="259" t="s">
        <v>340</v>
      </c>
      <c r="D55" s="207">
        <f t="shared" si="23"/>
        <v>0.12451999999999999</v>
      </c>
      <c r="E55" s="1290"/>
      <c r="F55" s="205">
        <f t="shared" si="25"/>
        <v>6.3250000000000001E-2</v>
      </c>
      <c r="G55" s="1292"/>
      <c r="H55" s="1291">
        <v>2.53E-2</v>
      </c>
      <c r="I55" s="1293">
        <v>3.7949999999999998E-2</v>
      </c>
      <c r="J55" s="205">
        <f t="shared" si="16"/>
        <v>6.1269999999999998E-2</v>
      </c>
      <c r="K55" s="1295"/>
      <c r="L55" s="1294">
        <v>6.1269999999999998E-2</v>
      </c>
      <c r="M55" s="1294"/>
      <c r="N55" s="243"/>
      <c r="O55" s="239"/>
      <c r="P55" s="240"/>
    </row>
    <row r="56" spans="2:16" s="1" customFormat="1" ht="15.75" thickBot="1" x14ac:dyDescent="0.3">
      <c r="B56" s="258" t="s">
        <v>341</v>
      </c>
      <c r="C56" s="249" t="s">
        <v>342</v>
      </c>
      <c r="D56" s="207">
        <f t="shared" si="23"/>
        <v>0</v>
      </c>
      <c r="E56" s="1290"/>
      <c r="F56" s="205">
        <f t="shared" si="25"/>
        <v>0</v>
      </c>
      <c r="G56" s="1292"/>
      <c r="H56" s="1291"/>
      <c r="I56" s="1293"/>
      <c r="J56" s="205">
        <f t="shared" si="16"/>
        <v>0</v>
      </c>
      <c r="K56" s="1295"/>
      <c r="L56" s="1294"/>
      <c r="M56" s="1294"/>
      <c r="N56" s="243"/>
      <c r="O56" s="239"/>
      <c r="P56" s="240"/>
    </row>
    <row r="57" spans="2:16" s="1" customFormat="1" x14ac:dyDescent="0.25">
      <c r="B57" s="149" t="s">
        <v>343</v>
      </c>
      <c r="C57" s="238" t="s">
        <v>344</v>
      </c>
      <c r="D57" s="151">
        <f t="shared" si="23"/>
        <v>15.747669999999999</v>
      </c>
      <c r="E57" s="152">
        <f>SUM(E58:E62)</f>
        <v>0</v>
      </c>
      <c r="F57" s="153">
        <f t="shared" si="25"/>
        <v>14.06654</v>
      </c>
      <c r="G57" s="154">
        <f>SUM(G58:G62)</f>
        <v>12.939</v>
      </c>
      <c r="H57" s="155">
        <f>SUM(H58:H62)</f>
        <v>0</v>
      </c>
      <c r="I57" s="156">
        <f>SUM(I58:I62)</f>
        <v>1.12754</v>
      </c>
      <c r="J57" s="153">
        <f t="shared" ref="J57:J88" si="31">SUM(K57:M57)</f>
        <v>1.6811299999999998</v>
      </c>
      <c r="K57" s="154">
        <f t="shared" ref="K57:P57" si="32">SUM(K58:K62)</f>
        <v>0.26007000000000002</v>
      </c>
      <c r="L57" s="155">
        <f t="shared" si="32"/>
        <v>1.2565499999999998</v>
      </c>
      <c r="M57" s="155">
        <f t="shared" si="32"/>
        <v>0.16450999999999999</v>
      </c>
      <c r="N57" s="151">
        <f t="shared" si="32"/>
        <v>0</v>
      </c>
      <c r="O57" s="152">
        <f t="shared" si="32"/>
        <v>0</v>
      </c>
      <c r="P57" s="153">
        <f t="shared" si="32"/>
        <v>0</v>
      </c>
    </row>
    <row r="58" spans="2:16" s="1" customFormat="1" x14ac:dyDescent="0.25">
      <c r="B58" s="258" t="s">
        <v>345</v>
      </c>
      <c r="C58" s="259" t="s">
        <v>346</v>
      </c>
      <c r="D58" s="168">
        <f t="shared" si="23"/>
        <v>12.939</v>
      </c>
      <c r="E58" s="244"/>
      <c r="F58" s="205">
        <f t="shared" si="25"/>
        <v>12.939</v>
      </c>
      <c r="G58" s="1296">
        <v>12.939</v>
      </c>
      <c r="H58" s="245"/>
      <c r="I58" s="246"/>
      <c r="J58" s="205">
        <f t="shared" si="31"/>
        <v>0</v>
      </c>
      <c r="K58" s="1298"/>
      <c r="L58" s="1297"/>
      <c r="M58" s="1297"/>
      <c r="N58" s="248"/>
      <c r="O58" s="244"/>
      <c r="P58" s="260"/>
    </row>
    <row r="59" spans="2:16" s="1" customFormat="1" x14ac:dyDescent="0.25">
      <c r="B59" s="258" t="s">
        <v>347</v>
      </c>
      <c r="C59" s="259" t="s">
        <v>348</v>
      </c>
      <c r="D59" s="168">
        <f t="shared" si="23"/>
        <v>0.94599999999999995</v>
      </c>
      <c r="E59" s="244"/>
      <c r="F59" s="205">
        <f t="shared" si="25"/>
        <v>0</v>
      </c>
      <c r="G59" s="247"/>
      <c r="H59" s="245"/>
      <c r="I59" s="246"/>
      <c r="J59" s="205">
        <f t="shared" si="31"/>
        <v>0.94599999999999995</v>
      </c>
      <c r="K59" s="1298"/>
      <c r="L59" s="1297">
        <v>0.94599999999999995</v>
      </c>
      <c r="M59" s="1297"/>
      <c r="N59" s="248"/>
      <c r="O59" s="244"/>
      <c r="P59" s="260"/>
    </row>
    <row r="60" spans="2:16" s="1" customFormat="1" x14ac:dyDescent="0.25">
      <c r="B60" s="258" t="s">
        <v>349</v>
      </c>
      <c r="C60" s="259" t="s">
        <v>350</v>
      </c>
      <c r="D60" s="168">
        <f t="shared" si="23"/>
        <v>0</v>
      </c>
      <c r="E60" s="244"/>
      <c r="F60" s="205">
        <f t="shared" si="25"/>
        <v>0</v>
      </c>
      <c r="G60" s="247"/>
      <c r="H60" s="245"/>
      <c r="I60" s="246"/>
      <c r="J60" s="205">
        <f t="shared" si="31"/>
        <v>0</v>
      </c>
      <c r="K60" s="1298"/>
      <c r="L60" s="1297"/>
      <c r="M60" s="1297"/>
      <c r="N60" s="248"/>
      <c r="O60" s="244"/>
      <c r="P60" s="260"/>
    </row>
    <row r="61" spans="2:16" s="1" customFormat="1" x14ac:dyDescent="0.25">
      <c r="B61" s="258" t="s">
        <v>351</v>
      </c>
      <c r="C61" s="259" t="s">
        <v>352</v>
      </c>
      <c r="D61" s="168">
        <f t="shared" si="23"/>
        <v>0</v>
      </c>
      <c r="E61" s="244"/>
      <c r="F61" s="205">
        <f t="shared" si="25"/>
        <v>0</v>
      </c>
      <c r="G61" s="247"/>
      <c r="H61" s="245"/>
      <c r="I61" s="246"/>
      <c r="J61" s="205">
        <f t="shared" si="31"/>
        <v>0</v>
      </c>
      <c r="K61" s="1298"/>
      <c r="L61" s="1297"/>
      <c r="M61" s="1297"/>
      <c r="N61" s="248"/>
      <c r="O61" s="244"/>
      <c r="P61" s="260"/>
    </row>
    <row r="62" spans="2:16" s="1" customFormat="1" ht="15.75" thickBot="1" x14ac:dyDescent="0.3">
      <c r="B62" s="261" t="s">
        <v>353</v>
      </c>
      <c r="C62" s="249" t="s">
        <v>354</v>
      </c>
      <c r="D62" s="176">
        <f t="shared" si="23"/>
        <v>1.86267</v>
      </c>
      <c r="E62" s="262"/>
      <c r="F62" s="215">
        <f t="shared" si="25"/>
        <v>1.12754</v>
      </c>
      <c r="G62" s="263"/>
      <c r="H62" s="264"/>
      <c r="I62" s="265">
        <v>1.12754</v>
      </c>
      <c r="J62" s="215">
        <f t="shared" si="31"/>
        <v>0.73513000000000006</v>
      </c>
      <c r="K62" s="1299">
        <v>0.26007000000000002</v>
      </c>
      <c r="L62" s="1300">
        <v>0.31054999999999999</v>
      </c>
      <c r="M62" s="1300">
        <v>0.16450999999999999</v>
      </c>
      <c r="N62" s="266"/>
      <c r="O62" s="262"/>
      <c r="P62" s="267"/>
    </row>
    <row r="63" spans="2:16" s="1" customFormat="1" x14ac:dyDescent="0.25">
      <c r="B63" s="149" t="s">
        <v>355</v>
      </c>
      <c r="C63" s="238" t="s">
        <v>356</v>
      </c>
      <c r="D63" s="151">
        <f t="shared" si="23"/>
        <v>0</v>
      </c>
      <c r="E63" s="152">
        <f>E64+E65</f>
        <v>0</v>
      </c>
      <c r="F63" s="153">
        <f t="shared" si="25"/>
        <v>0</v>
      </c>
      <c r="G63" s="154">
        <f>G64+G65</f>
        <v>0</v>
      </c>
      <c r="H63" s="155">
        <f>H64+H65</f>
        <v>0</v>
      </c>
      <c r="I63" s="156">
        <f>I64+I65</f>
        <v>0</v>
      </c>
      <c r="J63" s="153">
        <f t="shared" si="31"/>
        <v>0</v>
      </c>
      <c r="K63" s="154">
        <f t="shared" ref="K63:P63" si="33">K64+K65</f>
        <v>0</v>
      </c>
      <c r="L63" s="155">
        <f t="shared" si="33"/>
        <v>0</v>
      </c>
      <c r="M63" s="155">
        <f t="shared" si="33"/>
        <v>0</v>
      </c>
      <c r="N63" s="151">
        <f t="shared" si="33"/>
        <v>0</v>
      </c>
      <c r="O63" s="152">
        <f t="shared" si="33"/>
        <v>0</v>
      </c>
      <c r="P63" s="153">
        <f t="shared" si="33"/>
        <v>0</v>
      </c>
    </row>
    <row r="64" spans="2:16" s="1" customFormat="1" x14ac:dyDescent="0.25">
      <c r="B64" s="258" t="s">
        <v>357</v>
      </c>
      <c r="C64" s="259" t="s">
        <v>358</v>
      </c>
      <c r="D64" s="168">
        <f t="shared" si="23"/>
        <v>0</v>
      </c>
      <c r="E64" s="268"/>
      <c r="F64" s="170">
        <f t="shared" si="25"/>
        <v>0</v>
      </c>
      <c r="G64" s="269"/>
      <c r="H64" s="270"/>
      <c r="I64" s="271"/>
      <c r="J64" s="170">
        <f t="shared" si="31"/>
        <v>0</v>
      </c>
      <c r="K64" s="269"/>
      <c r="L64" s="270"/>
      <c r="M64" s="270"/>
      <c r="N64" s="272"/>
      <c r="O64" s="268"/>
      <c r="P64" s="273"/>
    </row>
    <row r="65" spans="2:16" s="1" customFormat="1" ht="15.75" thickBot="1" x14ac:dyDescent="0.3">
      <c r="B65" s="261" t="s">
        <v>359</v>
      </c>
      <c r="C65" s="249" t="s">
        <v>360</v>
      </c>
      <c r="D65" s="176">
        <f t="shared" si="23"/>
        <v>0</v>
      </c>
      <c r="E65" s="274"/>
      <c r="F65" s="178">
        <f t="shared" si="25"/>
        <v>0</v>
      </c>
      <c r="G65" s="275"/>
      <c r="H65" s="276"/>
      <c r="I65" s="277"/>
      <c r="J65" s="178">
        <f t="shared" si="31"/>
        <v>0</v>
      </c>
      <c r="K65" s="275"/>
      <c r="L65" s="276"/>
      <c r="M65" s="276"/>
      <c r="N65" s="278"/>
      <c r="O65" s="274"/>
      <c r="P65" s="279"/>
    </row>
    <row r="66" spans="2:16" s="1" customFormat="1" x14ac:dyDescent="0.25">
      <c r="B66" s="149" t="s">
        <v>361</v>
      </c>
      <c r="C66" s="238" t="s">
        <v>362</v>
      </c>
      <c r="D66" s="151">
        <f t="shared" ref="D66:D82" si="34">E66+F66+J66+N66+O66+P66</f>
        <v>2.1160100000000002</v>
      </c>
      <c r="E66" s="152">
        <f>SUM(E67:E80)</f>
        <v>0</v>
      </c>
      <c r="F66" s="153">
        <f t="shared" si="25"/>
        <v>0.86399000000000004</v>
      </c>
      <c r="G66" s="154">
        <f>SUM(G67:G80)</f>
        <v>0</v>
      </c>
      <c r="H66" s="155">
        <f>SUM(H67:H80)</f>
        <v>0.86399000000000004</v>
      </c>
      <c r="I66" s="156">
        <f>SUM(I67:I80)</f>
        <v>0</v>
      </c>
      <c r="J66" s="153">
        <f t="shared" si="31"/>
        <v>1.2520200000000001</v>
      </c>
      <c r="K66" s="154">
        <f t="shared" ref="K66:P66" si="35">SUM(K67:K80)</f>
        <v>0</v>
      </c>
      <c r="L66" s="155">
        <f t="shared" si="35"/>
        <v>1.2497900000000002</v>
      </c>
      <c r="M66" s="155">
        <f t="shared" si="35"/>
        <v>2.2300000000000002E-3</v>
      </c>
      <c r="N66" s="151">
        <f t="shared" si="35"/>
        <v>0</v>
      </c>
      <c r="O66" s="152">
        <f t="shared" si="35"/>
        <v>0</v>
      </c>
      <c r="P66" s="153">
        <f t="shared" si="35"/>
        <v>0</v>
      </c>
    </row>
    <row r="67" spans="2:16" s="1" customFormat="1" x14ac:dyDescent="0.25">
      <c r="B67" s="258" t="s">
        <v>363</v>
      </c>
      <c r="C67" s="259" t="s">
        <v>364</v>
      </c>
      <c r="D67" s="168">
        <f t="shared" si="34"/>
        <v>0</v>
      </c>
      <c r="E67" s="280"/>
      <c r="F67" s="170">
        <f t="shared" ref="F67:F97" si="36">SUM(G67:I67)</f>
        <v>0</v>
      </c>
      <c r="G67" s="1301"/>
      <c r="H67" s="1302"/>
      <c r="I67" s="1303"/>
      <c r="J67" s="170">
        <f t="shared" si="31"/>
        <v>0</v>
      </c>
      <c r="K67" s="1307"/>
      <c r="L67" s="1308"/>
      <c r="M67" s="1308"/>
      <c r="N67" s="272"/>
      <c r="O67" s="268"/>
      <c r="P67" s="273"/>
    </row>
    <row r="68" spans="2:16" s="1" customFormat="1" x14ac:dyDescent="0.25">
      <c r="B68" s="258" t="s">
        <v>365</v>
      </c>
      <c r="C68" s="259" t="s">
        <v>366</v>
      </c>
      <c r="D68" s="168">
        <f t="shared" si="34"/>
        <v>0</v>
      </c>
      <c r="E68" s="280"/>
      <c r="F68" s="170">
        <f t="shared" si="36"/>
        <v>0</v>
      </c>
      <c r="G68" s="1301"/>
      <c r="H68" s="1302"/>
      <c r="I68" s="1303"/>
      <c r="J68" s="170">
        <f t="shared" si="31"/>
        <v>0</v>
      </c>
      <c r="K68" s="1307"/>
      <c r="L68" s="1308"/>
      <c r="M68" s="1308"/>
      <c r="N68" s="272"/>
      <c r="O68" s="268"/>
      <c r="P68" s="273"/>
    </row>
    <row r="69" spans="2:16" s="1" customFormat="1" x14ac:dyDescent="0.25">
      <c r="B69" s="258" t="s">
        <v>367</v>
      </c>
      <c r="C69" s="259" t="s">
        <v>368</v>
      </c>
      <c r="D69" s="168">
        <f t="shared" si="34"/>
        <v>0</v>
      </c>
      <c r="E69" s="280"/>
      <c r="F69" s="170">
        <f t="shared" si="36"/>
        <v>0</v>
      </c>
      <c r="G69" s="1301"/>
      <c r="H69" s="1302"/>
      <c r="I69" s="1303"/>
      <c r="J69" s="170">
        <f t="shared" si="31"/>
        <v>0</v>
      </c>
      <c r="K69" s="1307"/>
      <c r="L69" s="1308"/>
      <c r="M69" s="1308"/>
      <c r="N69" s="272"/>
      <c r="O69" s="268"/>
      <c r="P69" s="273"/>
    </row>
    <row r="70" spans="2:16" s="1" customFormat="1" x14ac:dyDescent="0.25">
      <c r="B70" s="258" t="s">
        <v>369</v>
      </c>
      <c r="C70" s="259" t="s">
        <v>370</v>
      </c>
      <c r="D70" s="168">
        <f t="shared" si="34"/>
        <v>0</v>
      </c>
      <c r="E70" s="280"/>
      <c r="F70" s="170">
        <f t="shared" si="36"/>
        <v>0</v>
      </c>
      <c r="G70" s="1301"/>
      <c r="H70" s="1302"/>
      <c r="I70" s="1303"/>
      <c r="J70" s="170">
        <f t="shared" si="31"/>
        <v>0</v>
      </c>
      <c r="K70" s="1307"/>
      <c r="L70" s="1308"/>
      <c r="M70" s="1308"/>
      <c r="N70" s="272"/>
      <c r="O70" s="268"/>
      <c r="P70" s="273"/>
    </row>
    <row r="71" spans="2:16" s="1" customFormat="1" x14ac:dyDescent="0.25">
      <c r="B71" s="258" t="s">
        <v>371</v>
      </c>
      <c r="C71" s="259" t="s">
        <v>372</v>
      </c>
      <c r="D71" s="168">
        <f t="shared" si="34"/>
        <v>4.2900000000000004E-3</v>
      </c>
      <c r="E71" s="280"/>
      <c r="F71" s="170">
        <f t="shared" si="36"/>
        <v>2.0600000000000002E-3</v>
      </c>
      <c r="G71" s="1301"/>
      <c r="H71" s="1302">
        <v>2.0600000000000002E-3</v>
      </c>
      <c r="I71" s="1303"/>
      <c r="J71" s="170">
        <f t="shared" si="31"/>
        <v>2.2300000000000002E-3</v>
      </c>
      <c r="K71" s="1307"/>
      <c r="L71" s="1308"/>
      <c r="M71" s="1308">
        <v>2.2300000000000002E-3</v>
      </c>
      <c r="N71" s="272"/>
      <c r="O71" s="268"/>
      <c r="P71" s="273"/>
    </row>
    <row r="72" spans="2:16" s="1" customFormat="1" x14ac:dyDescent="0.25">
      <c r="B72" s="258" t="s">
        <v>373</v>
      </c>
      <c r="C72" s="259" t="s">
        <v>374</v>
      </c>
      <c r="D72" s="168">
        <f t="shared" si="34"/>
        <v>0</v>
      </c>
      <c r="E72" s="280"/>
      <c r="F72" s="170">
        <f t="shared" si="36"/>
        <v>0</v>
      </c>
      <c r="G72" s="1301"/>
      <c r="H72" s="1302"/>
      <c r="I72" s="1303"/>
      <c r="J72" s="170">
        <f t="shared" si="31"/>
        <v>0</v>
      </c>
      <c r="K72" s="1307"/>
      <c r="L72" s="1308"/>
      <c r="M72" s="1308"/>
      <c r="N72" s="272"/>
      <c r="O72" s="268"/>
      <c r="P72" s="273"/>
    </row>
    <row r="73" spans="2:16" s="1" customFormat="1" x14ac:dyDescent="0.25">
      <c r="B73" s="258" t="s">
        <v>375</v>
      </c>
      <c r="C73" s="259" t="s">
        <v>376</v>
      </c>
      <c r="D73" s="168">
        <f t="shared" si="34"/>
        <v>0.55206</v>
      </c>
      <c r="E73" s="280"/>
      <c r="F73" s="170">
        <f t="shared" si="36"/>
        <v>0.52727000000000002</v>
      </c>
      <c r="G73" s="1301"/>
      <c r="H73" s="1302">
        <v>0.52727000000000002</v>
      </c>
      <c r="I73" s="1303"/>
      <c r="J73" s="170">
        <f t="shared" si="31"/>
        <v>2.479E-2</v>
      </c>
      <c r="K73" s="1307"/>
      <c r="L73" s="1308">
        <v>2.479E-2</v>
      </c>
      <c r="M73" s="1308"/>
      <c r="N73" s="272"/>
      <c r="O73" s="268"/>
      <c r="P73" s="273"/>
    </row>
    <row r="74" spans="2:16" s="1" customFormat="1" x14ac:dyDescent="0.25">
      <c r="B74" s="258" t="s">
        <v>377</v>
      </c>
      <c r="C74" s="259" t="s">
        <v>378</v>
      </c>
      <c r="D74" s="168">
        <f t="shared" si="34"/>
        <v>0</v>
      </c>
      <c r="E74" s="280"/>
      <c r="F74" s="170">
        <f t="shared" si="36"/>
        <v>0</v>
      </c>
      <c r="G74" s="1301"/>
      <c r="H74" s="1302"/>
      <c r="I74" s="1303"/>
      <c r="J74" s="170">
        <f t="shared" si="31"/>
        <v>0</v>
      </c>
      <c r="K74" s="1307"/>
      <c r="L74" s="1308"/>
      <c r="M74" s="1308"/>
      <c r="N74" s="272"/>
      <c r="O74" s="268"/>
      <c r="P74" s="273"/>
    </row>
    <row r="75" spans="2:16" s="1" customFormat="1" x14ac:dyDescent="0.25">
      <c r="B75" s="258" t="s">
        <v>379</v>
      </c>
      <c r="C75" s="259" t="s">
        <v>380</v>
      </c>
      <c r="D75" s="168">
        <f t="shared" si="34"/>
        <v>0.33466000000000001</v>
      </c>
      <c r="E75" s="280"/>
      <c r="F75" s="170">
        <f t="shared" si="36"/>
        <v>0.33466000000000001</v>
      </c>
      <c r="G75" s="1301"/>
      <c r="H75" s="1302">
        <v>0.33466000000000001</v>
      </c>
      <c r="I75" s="1303"/>
      <c r="J75" s="170">
        <f t="shared" si="31"/>
        <v>0</v>
      </c>
      <c r="K75" s="1307"/>
      <c r="L75" s="1308"/>
      <c r="M75" s="1308"/>
      <c r="N75" s="272"/>
      <c r="O75" s="268"/>
      <c r="P75" s="273"/>
    </row>
    <row r="76" spans="2:16" s="1" customFormat="1" x14ac:dyDescent="0.25">
      <c r="B76" s="258" t="s">
        <v>381</v>
      </c>
      <c r="C76" s="259" t="s">
        <v>382</v>
      </c>
      <c r="D76" s="168">
        <f t="shared" si="34"/>
        <v>0</v>
      </c>
      <c r="E76" s="280"/>
      <c r="F76" s="170">
        <f t="shared" si="36"/>
        <v>0</v>
      </c>
      <c r="G76" s="1301"/>
      <c r="H76" s="1302"/>
      <c r="I76" s="1303"/>
      <c r="J76" s="170">
        <f t="shared" si="31"/>
        <v>0</v>
      </c>
      <c r="K76" s="1307"/>
      <c r="L76" s="1308"/>
      <c r="M76" s="1308"/>
      <c r="N76" s="272"/>
      <c r="O76" s="268"/>
      <c r="P76" s="273"/>
    </row>
    <row r="77" spans="2:16" s="1" customFormat="1" x14ac:dyDescent="0.25">
      <c r="B77" s="258" t="s">
        <v>383</v>
      </c>
      <c r="C77" s="259" t="s">
        <v>384</v>
      </c>
      <c r="D77" s="168">
        <f t="shared" si="34"/>
        <v>1.2250000000000001</v>
      </c>
      <c r="E77" s="280"/>
      <c r="F77" s="170">
        <f t="shared" si="36"/>
        <v>0</v>
      </c>
      <c r="G77" s="1301"/>
      <c r="H77" s="1302"/>
      <c r="I77" s="1303"/>
      <c r="J77" s="170">
        <f t="shared" si="31"/>
        <v>1.2250000000000001</v>
      </c>
      <c r="K77" s="1307"/>
      <c r="L77" s="1308">
        <v>1.2250000000000001</v>
      </c>
      <c r="M77" s="1308"/>
      <c r="N77" s="272"/>
      <c r="O77" s="268"/>
      <c r="P77" s="273"/>
    </row>
    <row r="78" spans="2:16" s="1" customFormat="1" x14ac:dyDescent="0.25">
      <c r="B78" s="258" t="s">
        <v>385</v>
      </c>
      <c r="C78" s="259" t="s">
        <v>386</v>
      </c>
      <c r="D78" s="168">
        <f t="shared" si="34"/>
        <v>0</v>
      </c>
      <c r="E78" s="280"/>
      <c r="F78" s="170">
        <f t="shared" si="36"/>
        <v>0</v>
      </c>
      <c r="G78" s="1301"/>
      <c r="H78" s="1302"/>
      <c r="I78" s="1303"/>
      <c r="J78" s="170">
        <f t="shared" si="31"/>
        <v>0</v>
      </c>
      <c r="K78" s="1307"/>
      <c r="L78" s="1308"/>
      <c r="M78" s="1308"/>
      <c r="N78" s="272"/>
      <c r="O78" s="268"/>
      <c r="P78" s="273"/>
    </row>
    <row r="79" spans="2:16" s="1" customFormat="1" x14ac:dyDescent="0.25">
      <c r="B79" s="258" t="s">
        <v>387</v>
      </c>
      <c r="C79" s="259" t="s">
        <v>388</v>
      </c>
      <c r="D79" s="168">
        <f t="shared" si="34"/>
        <v>0</v>
      </c>
      <c r="E79" s="280"/>
      <c r="F79" s="170">
        <f t="shared" si="36"/>
        <v>0</v>
      </c>
      <c r="G79" s="1301"/>
      <c r="H79" s="1302"/>
      <c r="I79" s="1303"/>
      <c r="J79" s="170">
        <f t="shared" si="31"/>
        <v>0</v>
      </c>
      <c r="K79" s="1307"/>
      <c r="L79" s="1308"/>
      <c r="M79" s="1308"/>
      <c r="N79" s="272"/>
      <c r="O79" s="268"/>
      <c r="P79" s="273"/>
    </row>
    <row r="80" spans="2:16" s="1" customFormat="1" ht="15.75" thickBot="1" x14ac:dyDescent="0.3">
      <c r="B80" s="281" t="s">
        <v>389</v>
      </c>
      <c r="C80" s="282" t="s">
        <v>390</v>
      </c>
      <c r="D80" s="283">
        <f t="shared" si="34"/>
        <v>0</v>
      </c>
      <c r="E80" s="284"/>
      <c r="F80" s="285">
        <f t="shared" si="36"/>
        <v>0</v>
      </c>
      <c r="G80" s="1304"/>
      <c r="H80" s="1305"/>
      <c r="I80" s="1306"/>
      <c r="J80" s="285">
        <f t="shared" si="31"/>
        <v>0</v>
      </c>
      <c r="K80" s="1309"/>
      <c r="L80" s="1310"/>
      <c r="M80" s="1310"/>
      <c r="N80" s="286"/>
      <c r="O80" s="287"/>
      <c r="P80" s="288"/>
    </row>
    <row r="81" spans="1:19" s="1" customFormat="1" ht="15.75" thickBot="1" x14ac:dyDescent="0.3">
      <c r="B81" s="289" t="s">
        <v>391</v>
      </c>
      <c r="C81" s="290" t="s">
        <v>392</v>
      </c>
      <c r="D81" s="291">
        <f t="shared" si="34"/>
        <v>0.55106999999999995</v>
      </c>
      <c r="E81" s="292"/>
      <c r="F81" s="293">
        <f t="shared" si="36"/>
        <v>0</v>
      </c>
      <c r="G81" s="294"/>
      <c r="H81" s="295"/>
      <c r="I81" s="296"/>
      <c r="J81" s="293">
        <f t="shared" si="31"/>
        <v>0</v>
      </c>
      <c r="K81" s="294"/>
      <c r="L81" s="295"/>
      <c r="M81" s="295"/>
      <c r="N81" s="297"/>
      <c r="O81" s="292"/>
      <c r="P81" s="298">
        <v>0.55106999999999995</v>
      </c>
    </row>
    <row r="82" spans="1:19" s="1" customFormat="1" x14ac:dyDescent="0.25">
      <c r="A82" s="299"/>
      <c r="B82" s="149" t="s">
        <v>393</v>
      </c>
      <c r="C82" s="203" t="s">
        <v>394</v>
      </c>
      <c r="D82" s="151">
        <f t="shared" si="34"/>
        <v>18.736179999999997</v>
      </c>
      <c r="E82" s="152">
        <f>SUM(E83:E89)</f>
        <v>2.5471900000000001</v>
      </c>
      <c r="F82" s="153">
        <f t="shared" si="36"/>
        <v>6.9466299999999999</v>
      </c>
      <c r="G82" s="154">
        <f>SUM(G83:G89)</f>
        <v>0.23300000000000001</v>
      </c>
      <c r="H82" s="155">
        <f>SUM(H83:H89)</f>
        <v>0.91306999999999994</v>
      </c>
      <c r="I82" s="156">
        <f>SUM(I83:I89)</f>
        <v>5.8005599999999999</v>
      </c>
      <c r="J82" s="153">
        <f t="shared" si="31"/>
        <v>8.0891699999999993</v>
      </c>
      <c r="K82" s="154">
        <f t="shared" ref="K82:P82" si="37">SUM(K83:K89)</f>
        <v>1.7153100000000001</v>
      </c>
      <c r="L82" s="155">
        <f t="shared" si="37"/>
        <v>6.0333300000000003</v>
      </c>
      <c r="M82" s="155">
        <f t="shared" si="37"/>
        <v>0.34053</v>
      </c>
      <c r="N82" s="151">
        <f t="shared" si="37"/>
        <v>0</v>
      </c>
      <c r="O82" s="152">
        <f t="shared" si="37"/>
        <v>0</v>
      </c>
      <c r="P82" s="153">
        <f t="shared" si="37"/>
        <v>1.1531899999999999</v>
      </c>
    </row>
    <row r="83" spans="1:19" s="1" customFormat="1" x14ac:dyDescent="0.25">
      <c r="A83" s="299"/>
      <c r="B83" s="300" t="s">
        <v>395</v>
      </c>
      <c r="C83" s="301" t="s">
        <v>396</v>
      </c>
      <c r="D83" s="302">
        <f>E83+F83+J83+N83+O83+P83</f>
        <v>0</v>
      </c>
      <c r="E83" s="1312"/>
      <c r="F83" s="304">
        <f t="shared" si="36"/>
        <v>0</v>
      </c>
      <c r="G83" s="1314"/>
      <c r="H83" s="1315"/>
      <c r="I83" s="1316"/>
      <c r="J83" s="304">
        <f t="shared" si="31"/>
        <v>0</v>
      </c>
      <c r="K83" s="1320"/>
      <c r="L83" s="1321"/>
      <c r="M83" s="1321"/>
      <c r="N83" s="308"/>
      <c r="O83" s="303"/>
      <c r="P83" s="1336"/>
    </row>
    <row r="84" spans="1:19" s="1" customFormat="1" x14ac:dyDescent="0.25">
      <c r="A84" s="299"/>
      <c r="B84" s="300" t="s">
        <v>397</v>
      </c>
      <c r="C84" s="301" t="s">
        <v>398</v>
      </c>
      <c r="D84" s="302">
        <f t="shared" ref="D84:D89" si="38">E84+F84+J84+N84+O84+P84</f>
        <v>0.30743999999999999</v>
      </c>
      <c r="E84" s="1312"/>
      <c r="F84" s="304">
        <f t="shared" si="36"/>
        <v>0</v>
      </c>
      <c r="G84" s="1314"/>
      <c r="H84" s="1315"/>
      <c r="I84" s="1316"/>
      <c r="J84" s="304">
        <f t="shared" si="31"/>
        <v>0.30743999999999999</v>
      </c>
      <c r="K84" s="1320">
        <v>0.14182</v>
      </c>
      <c r="L84" s="1321"/>
      <c r="M84" s="1321">
        <v>0.16561999999999999</v>
      </c>
      <c r="N84" s="308"/>
      <c r="O84" s="303"/>
      <c r="P84" s="1336"/>
    </row>
    <row r="85" spans="1:19" s="1" customFormat="1" x14ac:dyDescent="0.25">
      <c r="A85" s="299"/>
      <c r="B85" s="309" t="s">
        <v>399</v>
      </c>
      <c r="C85" s="310" t="s">
        <v>400</v>
      </c>
      <c r="D85" s="302">
        <f t="shared" si="38"/>
        <v>10.2384</v>
      </c>
      <c r="E85" s="1311"/>
      <c r="F85" s="205">
        <f t="shared" si="36"/>
        <v>5.73278</v>
      </c>
      <c r="G85" s="1314"/>
      <c r="H85" s="1315"/>
      <c r="I85" s="1316">
        <v>5.73278</v>
      </c>
      <c r="J85" s="205">
        <f t="shared" si="31"/>
        <v>4.5056200000000004</v>
      </c>
      <c r="K85" s="1320">
        <v>9.4649999999999998E-2</v>
      </c>
      <c r="L85" s="1321">
        <v>4.3832500000000003</v>
      </c>
      <c r="M85" s="1321">
        <v>2.7720000000000002E-2</v>
      </c>
      <c r="N85" s="308"/>
      <c r="O85" s="303"/>
      <c r="P85" s="1336"/>
    </row>
    <row r="86" spans="1:19" s="1" customFormat="1" x14ac:dyDescent="0.25">
      <c r="A86" s="299"/>
      <c r="B86" s="311" t="s">
        <v>401</v>
      </c>
      <c r="C86" s="312" t="s">
        <v>402</v>
      </c>
      <c r="D86" s="302">
        <f t="shared" si="38"/>
        <v>3.2084099999999998</v>
      </c>
      <c r="E86" s="1313"/>
      <c r="F86" s="215">
        <f t="shared" si="36"/>
        <v>7.0699999999999999E-2</v>
      </c>
      <c r="G86" s="1314"/>
      <c r="H86" s="1315">
        <v>7.0699999999999999E-2</v>
      </c>
      <c r="I86" s="1316"/>
      <c r="J86" s="215">
        <f t="shared" si="31"/>
        <v>2.4272</v>
      </c>
      <c r="K86" s="1320">
        <v>1.13856</v>
      </c>
      <c r="L86" s="1321">
        <v>1.2137500000000001</v>
      </c>
      <c r="M86" s="1321">
        <v>7.4889999999999998E-2</v>
      </c>
      <c r="N86" s="308"/>
      <c r="O86" s="303"/>
      <c r="P86" s="1336">
        <v>0.71050999999999997</v>
      </c>
    </row>
    <row r="87" spans="1:19" s="1" customFormat="1" x14ac:dyDescent="0.25">
      <c r="A87" s="299"/>
      <c r="B87" s="311" t="s">
        <v>403</v>
      </c>
      <c r="C87" s="212" t="s">
        <v>404</v>
      </c>
      <c r="D87" s="302">
        <f t="shared" si="38"/>
        <v>2.4347400000000001</v>
      </c>
      <c r="E87" s="1313"/>
      <c r="F87" s="215">
        <f t="shared" si="36"/>
        <v>1.1431499999999999</v>
      </c>
      <c r="G87" s="1314">
        <v>0.23300000000000001</v>
      </c>
      <c r="H87" s="1315">
        <v>0.84236999999999995</v>
      </c>
      <c r="I87" s="1316">
        <v>6.7780000000000007E-2</v>
      </c>
      <c r="J87" s="215">
        <f t="shared" si="31"/>
        <v>0.84891000000000005</v>
      </c>
      <c r="K87" s="1320">
        <v>0.34028000000000003</v>
      </c>
      <c r="L87" s="1321">
        <v>0.43633</v>
      </c>
      <c r="M87" s="1321">
        <v>7.2300000000000003E-2</v>
      </c>
      <c r="N87" s="308"/>
      <c r="O87" s="303"/>
      <c r="P87" s="1336">
        <v>0.44268000000000002</v>
      </c>
    </row>
    <row r="88" spans="1:19" s="1" customFormat="1" x14ac:dyDescent="0.25">
      <c r="A88" s="299"/>
      <c r="B88" s="311" t="s">
        <v>405</v>
      </c>
      <c r="C88" s="212" t="s">
        <v>406</v>
      </c>
      <c r="D88" s="302">
        <f t="shared" si="38"/>
        <v>2.5471900000000001</v>
      </c>
      <c r="E88" s="1313">
        <v>2.5471900000000001</v>
      </c>
      <c r="F88" s="215">
        <f t="shared" si="36"/>
        <v>0</v>
      </c>
      <c r="G88" s="1314"/>
      <c r="H88" s="1315"/>
      <c r="I88" s="1316"/>
      <c r="J88" s="215">
        <f t="shared" si="31"/>
        <v>0</v>
      </c>
      <c r="K88" s="1320"/>
      <c r="L88" s="1321"/>
      <c r="M88" s="1321"/>
      <c r="N88" s="308"/>
      <c r="O88" s="303"/>
      <c r="P88" s="1336"/>
    </row>
    <row r="89" spans="1:19" s="1" customFormat="1" ht="15.75" thickBot="1" x14ac:dyDescent="0.3">
      <c r="A89" s="299"/>
      <c r="B89" s="311" t="s">
        <v>407</v>
      </c>
      <c r="C89" s="212" t="s">
        <v>408</v>
      </c>
      <c r="D89" s="302">
        <f t="shared" si="38"/>
        <v>0</v>
      </c>
      <c r="E89" s="1313"/>
      <c r="F89" s="215">
        <f t="shared" si="36"/>
        <v>0</v>
      </c>
      <c r="G89" s="1317"/>
      <c r="H89" s="1318"/>
      <c r="I89" s="1319"/>
      <c r="J89" s="215">
        <f t="shared" ref="J89:J120" si="39">SUM(K89:M89)</f>
        <v>0</v>
      </c>
      <c r="K89" s="1322"/>
      <c r="L89" s="1323"/>
      <c r="M89" s="1323"/>
      <c r="N89" s="314"/>
      <c r="O89" s="313"/>
      <c r="P89" s="1337"/>
    </row>
    <row r="90" spans="1:19" s="1" customFormat="1" ht="42" customHeight="1" thickTop="1" thickBot="1" x14ac:dyDescent="0.3">
      <c r="A90" s="299"/>
      <c r="B90" s="133" t="s">
        <v>59</v>
      </c>
      <c r="C90" s="134" t="s">
        <v>409</v>
      </c>
      <c r="D90" s="315">
        <f>D91+D94+D97+D99+D105+D106+D111+D115+D118+D133+D134</f>
        <v>116.86077</v>
      </c>
      <c r="E90" s="227">
        <f>E91+E94+E97+E99+E105+E106+E111+E115+E118+E133+E134</f>
        <v>1.246839136</v>
      </c>
      <c r="F90" s="133">
        <f t="shared" si="36"/>
        <v>51.862527494000005</v>
      </c>
      <c r="G90" s="228">
        <f>G91+G94+G97+G99+G105+G106+G111+G115+G118+G133+G134</f>
        <v>8.139754881</v>
      </c>
      <c r="H90" s="229">
        <f>H91+H94+H97+H99+H105+H106+H111+H115+H118+H133+H134</f>
        <v>29.089292720000003</v>
      </c>
      <c r="I90" s="230">
        <f>I91+I94+I97+I99+I105+I106+I111+I115+I118+I133+I134</f>
        <v>14.633479892999997</v>
      </c>
      <c r="J90" s="133">
        <f t="shared" si="39"/>
        <v>63.751403370000006</v>
      </c>
      <c r="K90" s="228">
        <f t="shared" ref="K90:P90" si="40">K91+K94+K97+K99+K105+K106+K111+K115+K118+K133+K134</f>
        <v>34.889788068999998</v>
      </c>
      <c r="L90" s="229">
        <f t="shared" si="40"/>
        <v>21.659921688000001</v>
      </c>
      <c r="M90" s="229">
        <f t="shared" si="40"/>
        <v>7.2016936129999998</v>
      </c>
      <c r="N90" s="226">
        <f t="shared" si="40"/>
        <v>0</v>
      </c>
      <c r="O90" s="227">
        <f t="shared" si="40"/>
        <v>0</v>
      </c>
      <c r="P90" s="133">
        <f t="shared" si="40"/>
        <v>0</v>
      </c>
      <c r="Q90" s="316"/>
      <c r="R90" s="317"/>
    </row>
    <row r="91" spans="1:19" s="1" customFormat="1" ht="15.75" thickTop="1" x14ac:dyDescent="0.25">
      <c r="B91" s="141" t="s">
        <v>150</v>
      </c>
      <c r="C91" s="318" t="s">
        <v>303</v>
      </c>
      <c r="D91" s="319">
        <f>D92+D93</f>
        <v>0</v>
      </c>
      <c r="E91" s="320">
        <f>E92+E93</f>
        <v>0</v>
      </c>
      <c r="F91" s="321">
        <f t="shared" si="36"/>
        <v>0</v>
      </c>
      <c r="G91" s="322">
        <f>G92+G93</f>
        <v>0</v>
      </c>
      <c r="H91" s="323">
        <f>H92+H93</f>
        <v>0</v>
      </c>
      <c r="I91" s="324">
        <f>I92+I93</f>
        <v>0</v>
      </c>
      <c r="J91" s="321">
        <f t="shared" si="39"/>
        <v>0</v>
      </c>
      <c r="K91" s="322">
        <f t="shared" ref="K91:P91" si="41">K92+K93</f>
        <v>0</v>
      </c>
      <c r="L91" s="323">
        <f t="shared" si="41"/>
        <v>0</v>
      </c>
      <c r="M91" s="323">
        <f t="shared" si="41"/>
        <v>0</v>
      </c>
      <c r="N91" s="325">
        <f t="shared" si="41"/>
        <v>0</v>
      </c>
      <c r="O91" s="320">
        <f t="shared" si="41"/>
        <v>0</v>
      </c>
      <c r="P91" s="321">
        <f t="shared" si="41"/>
        <v>0</v>
      </c>
      <c r="Q91" s="316"/>
      <c r="R91" s="317"/>
      <c r="S91" s="204"/>
    </row>
    <row r="92" spans="1:19" s="1" customFormat="1" ht="32.25" customHeight="1" x14ac:dyDescent="0.25">
      <c r="B92" s="166" t="s">
        <v>410</v>
      </c>
      <c r="C92" s="167" t="s">
        <v>272</v>
      </c>
      <c r="D92" s="1324"/>
      <c r="E92" s="208">
        <f>IFERROR($D$92*E143/100, 0)</f>
        <v>0</v>
      </c>
      <c r="F92" s="205">
        <f t="shared" si="36"/>
        <v>0</v>
      </c>
      <c r="G92" s="209">
        <f>IFERROR($D$92*G143/100, 0)</f>
        <v>0</v>
      </c>
      <c r="H92" s="210">
        <f>IFERROR($D$92*H143/100, 0)</f>
        <v>0</v>
      </c>
      <c r="I92" s="211">
        <f>IFERROR($D$92*I143/100, 0)</f>
        <v>0</v>
      </c>
      <c r="J92" s="205">
        <f t="shared" si="39"/>
        <v>0</v>
      </c>
      <c r="K92" s="209">
        <f t="shared" ref="K92:P92" si="42">IFERROR($D$92*K143/100, 0)</f>
        <v>0</v>
      </c>
      <c r="L92" s="210">
        <f t="shared" si="42"/>
        <v>0</v>
      </c>
      <c r="M92" s="210">
        <f t="shared" si="42"/>
        <v>0</v>
      </c>
      <c r="N92" s="207">
        <f t="shared" si="42"/>
        <v>0</v>
      </c>
      <c r="O92" s="208">
        <f t="shared" si="42"/>
        <v>0</v>
      </c>
      <c r="P92" s="205">
        <f t="shared" si="42"/>
        <v>0</v>
      </c>
      <c r="Q92" s="327"/>
      <c r="R92" s="328"/>
    </row>
    <row r="93" spans="1:19" s="1" customFormat="1" ht="27" customHeight="1" thickBot="1" x14ac:dyDescent="0.3">
      <c r="B93" s="166" t="s">
        <v>411</v>
      </c>
      <c r="C93" s="167" t="s">
        <v>306</v>
      </c>
      <c r="D93" s="1324"/>
      <c r="E93" s="208">
        <f>IFERROR($D$93*E144/100, 0)</f>
        <v>0</v>
      </c>
      <c r="F93" s="205">
        <f t="shared" si="36"/>
        <v>0</v>
      </c>
      <c r="G93" s="209">
        <f>IFERROR($D$93*G144/100, 0)</f>
        <v>0</v>
      </c>
      <c r="H93" s="210">
        <f>IFERROR($D$93*H144/100, 0)</f>
        <v>0</v>
      </c>
      <c r="I93" s="211">
        <f>IFERROR($D$93*I144/100, 0)</f>
        <v>0</v>
      </c>
      <c r="J93" s="205">
        <f t="shared" si="39"/>
        <v>0</v>
      </c>
      <c r="K93" s="209">
        <f t="shared" ref="K93:P93" si="43">IFERROR($D$93*K144/100, 0)</f>
        <v>0</v>
      </c>
      <c r="L93" s="210">
        <f t="shared" si="43"/>
        <v>0</v>
      </c>
      <c r="M93" s="210">
        <f t="shared" si="43"/>
        <v>0</v>
      </c>
      <c r="N93" s="207">
        <f t="shared" si="43"/>
        <v>0</v>
      </c>
      <c r="O93" s="208">
        <f t="shared" si="43"/>
        <v>0</v>
      </c>
      <c r="P93" s="205">
        <f t="shared" si="43"/>
        <v>0</v>
      </c>
      <c r="Q93" s="327"/>
      <c r="R93" s="328"/>
    </row>
    <row r="94" spans="1:19" s="1" customFormat="1" x14ac:dyDescent="0.25">
      <c r="B94" s="149" t="s">
        <v>152</v>
      </c>
      <c r="C94" s="238" t="s">
        <v>313</v>
      </c>
      <c r="D94" s="329">
        <f>D95+D96</f>
        <v>6.4178600000000001</v>
      </c>
      <c r="E94" s="152">
        <f>E95+E96</f>
        <v>0</v>
      </c>
      <c r="F94" s="153">
        <f t="shared" si="36"/>
        <v>3.0112599119999999</v>
      </c>
      <c r="G94" s="154">
        <f>G95+G96</f>
        <v>0.47877235600000001</v>
      </c>
      <c r="H94" s="155">
        <f>H95+H96</f>
        <v>1.72961327</v>
      </c>
      <c r="I94" s="156">
        <f>I95+I96</f>
        <v>0.80287428599999999</v>
      </c>
      <c r="J94" s="153">
        <f t="shared" si="39"/>
        <v>3.4066000880000002</v>
      </c>
      <c r="K94" s="154">
        <f t="shared" ref="K94:P94" si="44">K95+K96</f>
        <v>1.6596585959999999</v>
      </c>
      <c r="L94" s="155">
        <f t="shared" si="44"/>
        <v>1.3169448720000001</v>
      </c>
      <c r="M94" s="155">
        <f t="shared" si="44"/>
        <v>0.42999662000000005</v>
      </c>
      <c r="N94" s="151">
        <f t="shared" si="44"/>
        <v>0</v>
      </c>
      <c r="O94" s="152">
        <f t="shared" si="44"/>
        <v>0</v>
      </c>
      <c r="P94" s="153">
        <f t="shared" si="44"/>
        <v>0</v>
      </c>
      <c r="Q94" s="316"/>
      <c r="R94" s="317"/>
    </row>
    <row r="95" spans="1:19" s="1" customFormat="1" ht="29.25" customHeight="1" x14ac:dyDescent="0.25">
      <c r="B95" s="166" t="s">
        <v>154</v>
      </c>
      <c r="C95" s="167" t="s">
        <v>315</v>
      </c>
      <c r="D95" s="1326">
        <v>4.5308999999999999</v>
      </c>
      <c r="E95" s="208">
        <f>IFERROR($D$95*E146/100, 0)</f>
        <v>0</v>
      </c>
      <c r="F95" s="205">
        <f t="shared" si="36"/>
        <v>2.1258982799999999</v>
      </c>
      <c r="G95" s="209">
        <f>IFERROR($D$95*G146/100, 0)</f>
        <v>0.33800513999999998</v>
      </c>
      <c r="H95" s="210">
        <f>IFERROR($D$95*H146/100, 0)</f>
        <v>1.22107755</v>
      </c>
      <c r="I95" s="211">
        <f>IFERROR($D$95*I146/100, 0)</f>
        <v>0.56681559000000004</v>
      </c>
      <c r="J95" s="205">
        <f t="shared" si="39"/>
        <v>2.40500172</v>
      </c>
      <c r="K95" s="209">
        <f t="shared" ref="K95:P95" si="45">IFERROR($D$95*K146/100, 0)</f>
        <v>1.1716907399999998</v>
      </c>
      <c r="L95" s="210">
        <f t="shared" si="45"/>
        <v>0.92974067999999999</v>
      </c>
      <c r="M95" s="210">
        <f t="shared" si="45"/>
        <v>0.30357030000000002</v>
      </c>
      <c r="N95" s="207">
        <f t="shared" si="45"/>
        <v>0</v>
      </c>
      <c r="O95" s="208">
        <f t="shared" si="45"/>
        <v>0</v>
      </c>
      <c r="P95" s="205">
        <f t="shared" si="45"/>
        <v>0</v>
      </c>
      <c r="Q95" s="327"/>
      <c r="R95" s="328"/>
    </row>
    <row r="96" spans="1:19" s="1" customFormat="1" ht="25.5" customHeight="1" thickBot="1" x14ac:dyDescent="0.3">
      <c r="B96" s="166" t="s">
        <v>156</v>
      </c>
      <c r="C96" s="167" t="s">
        <v>317</v>
      </c>
      <c r="D96" s="1326">
        <v>1.88696</v>
      </c>
      <c r="E96" s="208">
        <f>IFERROR($D$96*E147/100, 0)</f>
        <v>0</v>
      </c>
      <c r="F96" s="205">
        <f t="shared" si="36"/>
        <v>0.88536163199999995</v>
      </c>
      <c r="G96" s="209">
        <f>IFERROR($D$96*G147/100, 0)</f>
        <v>0.140767216</v>
      </c>
      <c r="H96" s="210">
        <f>IFERROR($D$96*H147/100, 0)</f>
        <v>0.50853572000000002</v>
      </c>
      <c r="I96" s="211">
        <f>IFERROR($D$96*I147/100, 0)</f>
        <v>0.23605869599999998</v>
      </c>
      <c r="J96" s="205">
        <f t="shared" si="39"/>
        <v>1.001598368</v>
      </c>
      <c r="K96" s="209">
        <f t="shared" ref="K96:P96" si="46">IFERROR($D$96*K147/100, 0)</f>
        <v>0.48796785599999998</v>
      </c>
      <c r="L96" s="210">
        <f t="shared" si="46"/>
        <v>0.387204192</v>
      </c>
      <c r="M96" s="210">
        <f t="shared" si="46"/>
        <v>0.12642632000000001</v>
      </c>
      <c r="N96" s="207">
        <f t="shared" si="46"/>
        <v>0</v>
      </c>
      <c r="O96" s="208">
        <f t="shared" si="46"/>
        <v>0</v>
      </c>
      <c r="P96" s="205">
        <f t="shared" si="46"/>
        <v>0</v>
      </c>
      <c r="Q96" s="327"/>
      <c r="R96" s="328"/>
    </row>
    <row r="97" spans="2:18" s="1" customFormat="1" x14ac:dyDescent="0.25">
      <c r="B97" s="149" t="s">
        <v>160</v>
      </c>
      <c r="C97" s="238" t="s">
        <v>319</v>
      </c>
      <c r="D97" s="329">
        <f>D98</f>
        <v>0</v>
      </c>
      <c r="E97" s="152">
        <f>E98</f>
        <v>0</v>
      </c>
      <c r="F97" s="153">
        <f t="shared" si="36"/>
        <v>0</v>
      </c>
      <c r="G97" s="154">
        <f>G98</f>
        <v>0</v>
      </c>
      <c r="H97" s="155">
        <f>H98</f>
        <v>0</v>
      </c>
      <c r="I97" s="156">
        <f>I98</f>
        <v>0</v>
      </c>
      <c r="J97" s="153">
        <f t="shared" si="39"/>
        <v>0</v>
      </c>
      <c r="K97" s="154">
        <f t="shared" ref="K97:P97" si="47">K98</f>
        <v>0</v>
      </c>
      <c r="L97" s="155">
        <f t="shared" si="47"/>
        <v>0</v>
      </c>
      <c r="M97" s="155">
        <f t="shared" si="47"/>
        <v>0</v>
      </c>
      <c r="N97" s="151">
        <f t="shared" si="47"/>
        <v>0</v>
      </c>
      <c r="O97" s="152">
        <f t="shared" si="47"/>
        <v>0</v>
      </c>
      <c r="P97" s="153">
        <f t="shared" si="47"/>
        <v>0</v>
      </c>
      <c r="Q97" s="316"/>
      <c r="R97" s="317"/>
    </row>
    <row r="98" spans="2:18" s="1" customFormat="1" ht="15.75" thickBot="1" x14ac:dyDescent="0.3">
      <c r="B98" s="166" t="s">
        <v>412</v>
      </c>
      <c r="C98" s="167" t="s">
        <v>321</v>
      </c>
      <c r="D98" s="326"/>
      <c r="E98" s="208">
        <f>IFERROR($D$98*E149/100, 0)</f>
        <v>0</v>
      </c>
      <c r="F98" s="205">
        <f>IFERROR($D$98*F149/100, 0)</f>
        <v>0</v>
      </c>
      <c r="G98" s="209">
        <f>IFERROR($D$98*G149/100, 0)</f>
        <v>0</v>
      </c>
      <c r="H98" s="210">
        <f>IFERROR($D$98*H149/100, 0)</f>
        <v>0</v>
      </c>
      <c r="I98" s="211">
        <f>IFERROR($D$98*I149/100, 0)</f>
        <v>0</v>
      </c>
      <c r="J98" s="205">
        <f t="shared" si="39"/>
        <v>0</v>
      </c>
      <c r="K98" s="209">
        <f t="shared" ref="K98:P98" si="48">IFERROR($D$98*K149/100, 0)</f>
        <v>0</v>
      </c>
      <c r="L98" s="210">
        <f t="shared" si="48"/>
        <v>0</v>
      </c>
      <c r="M98" s="210">
        <f t="shared" si="48"/>
        <v>0</v>
      </c>
      <c r="N98" s="207">
        <f t="shared" si="48"/>
        <v>0</v>
      </c>
      <c r="O98" s="208">
        <f t="shared" si="48"/>
        <v>0</v>
      </c>
      <c r="P98" s="205">
        <f t="shared" si="48"/>
        <v>0</v>
      </c>
      <c r="Q98" s="327"/>
      <c r="R98" s="328"/>
    </row>
    <row r="99" spans="2:18" s="1" customFormat="1" x14ac:dyDescent="0.25">
      <c r="B99" s="149" t="s">
        <v>162</v>
      </c>
      <c r="C99" s="238" t="s">
        <v>323</v>
      </c>
      <c r="D99" s="329">
        <f>SUM(D100:D104)</f>
        <v>7.1571900000000017</v>
      </c>
      <c r="E99" s="152">
        <f>SUM(E100:E104)</f>
        <v>0</v>
      </c>
      <c r="F99" s="153">
        <f>SUM(G99:I99)</f>
        <v>0.77440795800000006</v>
      </c>
      <c r="G99" s="154">
        <f>SUM(G100:G104)</f>
        <v>0.31706351700000002</v>
      </c>
      <c r="H99" s="155">
        <f>SUM(H100:H104)</f>
        <v>0.38505682200000002</v>
      </c>
      <c r="I99" s="156">
        <f>SUM(I100:I104)</f>
        <v>7.2287619000000011E-2</v>
      </c>
      <c r="J99" s="153">
        <f t="shared" si="39"/>
        <v>6.3827820420000014</v>
      </c>
      <c r="K99" s="154">
        <f t="shared" ref="K99:P99" si="49">SUM(K100:K104)</f>
        <v>5.4158456730000006</v>
      </c>
      <c r="L99" s="155">
        <f t="shared" si="49"/>
        <v>0.61838121600000007</v>
      </c>
      <c r="M99" s="155">
        <f t="shared" si="49"/>
        <v>0.34855515300000001</v>
      </c>
      <c r="N99" s="151">
        <f t="shared" si="49"/>
        <v>0</v>
      </c>
      <c r="O99" s="152">
        <f t="shared" si="49"/>
        <v>0</v>
      </c>
      <c r="P99" s="153">
        <f t="shared" si="49"/>
        <v>0</v>
      </c>
      <c r="Q99" s="316"/>
      <c r="R99" s="317"/>
    </row>
    <row r="100" spans="2:18" s="1" customFormat="1" x14ac:dyDescent="0.25">
      <c r="B100" s="166" t="s">
        <v>413</v>
      </c>
      <c r="C100" s="167" t="s">
        <v>277</v>
      </c>
      <c r="D100" s="1325">
        <v>3.4096000000000002</v>
      </c>
      <c r="E100" s="208">
        <f>IFERROR($D$100*E151/100, 0)</f>
        <v>0</v>
      </c>
      <c r="F100" s="205">
        <f>IFERROR($D$100*F151/100, 0)</f>
        <v>0.36891871999999998</v>
      </c>
      <c r="G100" s="209">
        <f>IFERROR($D$100*G151/100, 0)</f>
        <v>0.15104528</v>
      </c>
      <c r="H100" s="210">
        <f>IFERROR($D$100*H151/100, 0)</f>
        <v>0.18343648000000001</v>
      </c>
      <c r="I100" s="211">
        <f>IFERROR($D$100*I151/100, 0)</f>
        <v>3.4436960000000003E-2</v>
      </c>
      <c r="J100" s="205">
        <f t="shared" si="39"/>
        <v>3.0406812800000003</v>
      </c>
      <c r="K100" s="209">
        <f t="shared" ref="K100:P100" si="50">IFERROR($D$100*K151/100, 0)</f>
        <v>2.5800443200000003</v>
      </c>
      <c r="L100" s="210">
        <f t="shared" si="50"/>
        <v>0.29458944000000004</v>
      </c>
      <c r="M100" s="210">
        <f t="shared" si="50"/>
        <v>0.16604752</v>
      </c>
      <c r="N100" s="207">
        <f t="shared" si="50"/>
        <v>0</v>
      </c>
      <c r="O100" s="208">
        <f t="shared" si="50"/>
        <v>0</v>
      </c>
      <c r="P100" s="205">
        <f t="shared" si="50"/>
        <v>0</v>
      </c>
      <c r="Q100" s="327"/>
      <c r="R100" s="328"/>
    </row>
    <row r="101" spans="2:18" s="1" customFormat="1" x14ac:dyDescent="0.25">
      <c r="B101" s="166" t="s">
        <v>414</v>
      </c>
      <c r="C101" s="167" t="s">
        <v>281</v>
      </c>
      <c r="D101" s="1325">
        <v>1.5846100000000001</v>
      </c>
      <c r="E101" s="208">
        <f>IFERROR($D$101*E152/100, 0)</f>
        <v>0</v>
      </c>
      <c r="F101" s="205">
        <f>IFERROR($D$101*F152/100, 0)</f>
        <v>0.17145480199999999</v>
      </c>
      <c r="G101" s="209">
        <f>IFERROR($D$101*G152/100, 0)</f>
        <v>7.019822299999999E-2</v>
      </c>
      <c r="H101" s="210">
        <f>IFERROR($D$101*H152/100, 0)</f>
        <v>8.5252017999999999E-2</v>
      </c>
      <c r="I101" s="211">
        <f>IFERROR($D$101*I152/100, 0)</f>
        <v>1.6004561E-2</v>
      </c>
      <c r="J101" s="205">
        <f t="shared" si="39"/>
        <v>1.4131551980000001</v>
      </c>
      <c r="K101" s="209">
        <f t="shared" ref="K101:P101" si="51">IFERROR($D$101*K152/100, 0)</f>
        <v>1.1990743870000002</v>
      </c>
      <c r="L101" s="210">
        <f t="shared" si="51"/>
        <v>0.13691030400000001</v>
      </c>
      <c r="M101" s="210">
        <f t="shared" si="51"/>
        <v>7.7170506999999999E-2</v>
      </c>
      <c r="N101" s="207">
        <f t="shared" si="51"/>
        <v>0</v>
      </c>
      <c r="O101" s="208">
        <f t="shared" si="51"/>
        <v>0</v>
      </c>
      <c r="P101" s="205">
        <f t="shared" si="51"/>
        <v>0</v>
      </c>
      <c r="Q101" s="327"/>
      <c r="R101" s="328"/>
    </row>
    <row r="102" spans="2:18" s="1" customFormat="1" x14ac:dyDescent="0.25">
      <c r="B102" s="166" t="s">
        <v>415</v>
      </c>
      <c r="C102" s="249" t="s">
        <v>327</v>
      </c>
      <c r="D102" s="1325">
        <v>0.1321</v>
      </c>
      <c r="E102" s="208">
        <f>IFERROR($D$102*E153/100, 0)</f>
        <v>0</v>
      </c>
      <c r="F102" s="205">
        <f>IFERROR($D$102*F153/100, 0)</f>
        <v>1.4293219999999997E-2</v>
      </c>
      <c r="G102" s="209">
        <f>IFERROR($D$102*G153/100, 0)</f>
        <v>5.8520299999999994E-3</v>
      </c>
      <c r="H102" s="210">
        <f>IFERROR($D$102*H153/100, 0)</f>
        <v>7.1069799999999997E-3</v>
      </c>
      <c r="I102" s="211">
        <f>IFERROR($D$102*I153/100, 0)</f>
        <v>1.3342099999999997E-3</v>
      </c>
      <c r="J102" s="205">
        <f t="shared" si="39"/>
        <v>0.11780678000000001</v>
      </c>
      <c r="K102" s="209">
        <f t="shared" ref="K102:P102" si="52">IFERROR($D$102*K153/100, 0)</f>
        <v>9.9960070000000012E-2</v>
      </c>
      <c r="L102" s="210">
        <f t="shared" si="52"/>
        <v>1.1413440000000002E-2</v>
      </c>
      <c r="M102" s="210">
        <f t="shared" si="52"/>
        <v>6.4332699999999996E-3</v>
      </c>
      <c r="N102" s="207">
        <f t="shared" si="52"/>
        <v>0</v>
      </c>
      <c r="O102" s="208">
        <f t="shared" si="52"/>
        <v>0</v>
      </c>
      <c r="P102" s="205">
        <f t="shared" si="52"/>
        <v>0</v>
      </c>
      <c r="Q102" s="327"/>
      <c r="R102" s="328"/>
    </row>
    <row r="103" spans="2:18" s="1" customFormat="1" x14ac:dyDescent="0.25">
      <c r="B103" s="166" t="s">
        <v>416</v>
      </c>
      <c r="C103" s="250" t="s">
        <v>279</v>
      </c>
      <c r="D103" s="1325">
        <v>1.65415</v>
      </c>
      <c r="E103" s="208">
        <f>IFERROR($D$103*E154/100, 0)</f>
        <v>0</v>
      </c>
      <c r="F103" s="205">
        <f>IFERROR($D$103*F154/100, 0)</f>
        <v>0.17897902999999996</v>
      </c>
      <c r="G103" s="209">
        <f>IFERROR($D$103*G154/100, 0)</f>
        <v>7.3278844999999995E-2</v>
      </c>
      <c r="H103" s="210">
        <f>IFERROR($D$103*H154/100, 0)</f>
        <v>8.8993269999999999E-2</v>
      </c>
      <c r="I103" s="211">
        <f>IFERROR($D$103*I154/100, 0)</f>
        <v>1.6706914999999999E-2</v>
      </c>
      <c r="J103" s="205">
        <f t="shared" si="39"/>
        <v>1.4751709700000002</v>
      </c>
      <c r="K103" s="209">
        <f t="shared" ref="K103:P103" si="53">IFERROR($D$103*K154/100, 0)</f>
        <v>1.2516953050000001</v>
      </c>
      <c r="L103" s="210">
        <f t="shared" si="53"/>
        <v>0.14291856</v>
      </c>
      <c r="M103" s="210">
        <f t="shared" si="53"/>
        <v>8.0557105000000004E-2</v>
      </c>
      <c r="N103" s="207">
        <f t="shared" si="53"/>
        <v>0</v>
      </c>
      <c r="O103" s="208">
        <f t="shared" si="53"/>
        <v>0</v>
      </c>
      <c r="P103" s="205">
        <f t="shared" si="53"/>
        <v>0</v>
      </c>
      <c r="Q103" s="327"/>
      <c r="R103" s="328"/>
    </row>
    <row r="104" spans="2:18" s="1" customFormat="1" ht="32.25" customHeight="1" thickBot="1" x14ac:dyDescent="0.3">
      <c r="B104" s="166" t="s">
        <v>417</v>
      </c>
      <c r="C104" s="250" t="s">
        <v>330</v>
      </c>
      <c r="D104" s="1325">
        <v>0.37673000000000001</v>
      </c>
      <c r="E104" s="208">
        <f>IFERROR($D$104*E155/100, 0)</f>
        <v>0</v>
      </c>
      <c r="F104" s="205">
        <f>IFERROR($D$104*F155/100, 0)</f>
        <v>4.0762185999999999E-2</v>
      </c>
      <c r="G104" s="209">
        <f>IFERROR($D$104*G155/100, 0)</f>
        <v>1.6689138999999999E-2</v>
      </c>
      <c r="H104" s="210">
        <f>IFERROR($D$104*H155/100, 0)</f>
        <v>2.0268074000000001E-2</v>
      </c>
      <c r="I104" s="211">
        <f>IFERROR($D$104*I155/100, 0)</f>
        <v>3.8049730000000006E-3</v>
      </c>
      <c r="J104" s="205">
        <f t="shared" si="39"/>
        <v>0.33596781400000003</v>
      </c>
      <c r="K104" s="209">
        <f t="shared" ref="K104:P104" si="54">IFERROR($D$104*K155/100, 0)</f>
        <v>0.28507159100000001</v>
      </c>
      <c r="L104" s="210">
        <f t="shared" si="54"/>
        <v>3.2549472000000003E-2</v>
      </c>
      <c r="M104" s="210">
        <f t="shared" si="54"/>
        <v>1.8346751000000001E-2</v>
      </c>
      <c r="N104" s="207">
        <f t="shared" si="54"/>
        <v>0</v>
      </c>
      <c r="O104" s="208">
        <f t="shared" si="54"/>
        <v>0</v>
      </c>
      <c r="P104" s="205">
        <f t="shared" si="54"/>
        <v>0</v>
      </c>
      <c r="Q104" s="327"/>
      <c r="R104" s="328"/>
    </row>
    <row r="105" spans="2:18" s="1" customFormat="1" ht="15.75" thickBot="1" x14ac:dyDescent="0.3">
      <c r="B105" s="149" t="s">
        <v>418</v>
      </c>
      <c r="C105" s="238" t="s">
        <v>332</v>
      </c>
      <c r="D105" s="330">
        <v>6.9532800000000003</v>
      </c>
      <c r="E105" s="152">
        <f>IFERROR($D$105*E156/100, 0)</f>
        <v>0</v>
      </c>
      <c r="F105" s="153">
        <f>IFERROR($D$105*F156/100, 0)</f>
        <v>3.4606474559999998</v>
      </c>
      <c r="G105" s="154">
        <f>IFERROR($D$105*G156/100, 0)</f>
        <v>0.25031808</v>
      </c>
      <c r="H105" s="155">
        <f>IFERROR($D$105*H156/100, 0)</f>
        <v>1.346155008</v>
      </c>
      <c r="I105" s="156">
        <f>IFERROR($D$105*I156/100, 0)</f>
        <v>1.8641743679999998</v>
      </c>
      <c r="J105" s="153">
        <f t="shared" si="39"/>
        <v>3.4926325440000001</v>
      </c>
      <c r="K105" s="154">
        <f t="shared" ref="K105:P105" si="55">IFERROR($D$105*K156/100, 0)</f>
        <v>3.2263219200000002</v>
      </c>
      <c r="L105" s="155">
        <f t="shared" si="55"/>
        <v>0.21416102400000003</v>
      </c>
      <c r="M105" s="155">
        <f t="shared" si="55"/>
        <v>5.2149600000000004E-2</v>
      </c>
      <c r="N105" s="151">
        <f t="shared" si="55"/>
        <v>0</v>
      </c>
      <c r="O105" s="152">
        <f t="shared" si="55"/>
        <v>0</v>
      </c>
      <c r="P105" s="153">
        <f t="shared" si="55"/>
        <v>0</v>
      </c>
      <c r="Q105" s="316"/>
      <c r="R105" s="317"/>
    </row>
    <row r="106" spans="2:18" s="1" customFormat="1" x14ac:dyDescent="0.25">
      <c r="B106" s="149" t="s">
        <v>419</v>
      </c>
      <c r="C106" s="238" t="s">
        <v>334</v>
      </c>
      <c r="D106" s="329">
        <f>SUM(D107:D110)</f>
        <v>60.053980000000003</v>
      </c>
      <c r="E106" s="152">
        <f>SUM(E107:E110)</f>
        <v>0.15402036800000002</v>
      </c>
      <c r="F106" s="153">
        <f t="shared" ref="F106:F140" si="56">SUM(G106:I106)</f>
        <v>28.105314075999999</v>
      </c>
      <c r="G106" s="154">
        <f>SUM(G107:G110)</f>
        <v>4.4685635600000007</v>
      </c>
      <c r="H106" s="155">
        <f>SUM(H107:H110)</f>
        <v>16.14339713</v>
      </c>
      <c r="I106" s="156">
        <f>SUM(I107:I110)</f>
        <v>7.493353385999999</v>
      </c>
      <c r="J106" s="153">
        <f t="shared" si="39"/>
        <v>31.794645555999999</v>
      </c>
      <c r="K106" s="154">
        <f t="shared" ref="K106:P106" si="57">SUM(K107:K110)</f>
        <v>15.489984475999998</v>
      </c>
      <c r="L106" s="155">
        <f t="shared" si="57"/>
        <v>12.291332039999999</v>
      </c>
      <c r="M106" s="155">
        <f t="shared" si="57"/>
        <v>4.0133290400000003</v>
      </c>
      <c r="N106" s="151">
        <f t="shared" si="57"/>
        <v>0</v>
      </c>
      <c r="O106" s="152">
        <f t="shared" si="57"/>
        <v>0</v>
      </c>
      <c r="P106" s="153">
        <f t="shared" si="57"/>
        <v>0</v>
      </c>
      <c r="Q106" s="331"/>
      <c r="R106" s="317"/>
    </row>
    <row r="107" spans="2:18" s="1" customFormat="1" x14ac:dyDescent="0.25">
      <c r="B107" s="258" t="s">
        <v>420</v>
      </c>
      <c r="C107" s="259" t="s">
        <v>336</v>
      </c>
      <c r="D107" s="1327">
        <v>56.154020000000003</v>
      </c>
      <c r="E107" s="208">
        <f>IFERROR($D$107*E158/100, 0)</f>
        <v>0</v>
      </c>
      <c r="F107" s="205">
        <f t="shared" si="56"/>
        <v>26.347466184000002</v>
      </c>
      <c r="G107" s="209">
        <f>IFERROR($D$107*G158/100, 0)</f>
        <v>4.1890898920000001</v>
      </c>
      <c r="H107" s="210">
        <f>IFERROR($D$107*H158/100, 0)</f>
        <v>15.133508389999999</v>
      </c>
      <c r="I107" s="211">
        <f>IFERROR($D$107*I158/100, 0)</f>
        <v>7.0248679019999996</v>
      </c>
      <c r="J107" s="205">
        <f t="shared" si="39"/>
        <v>29.806553816000001</v>
      </c>
      <c r="K107" s="209">
        <f t="shared" ref="K107:P107" si="58">IFERROR($D$107*K158/100, 0)</f>
        <v>14.521429571999999</v>
      </c>
      <c r="L107" s="210">
        <f t="shared" si="58"/>
        <v>11.522804903999999</v>
      </c>
      <c r="M107" s="210">
        <f t="shared" si="58"/>
        <v>3.7623193400000003</v>
      </c>
      <c r="N107" s="207">
        <f t="shared" si="58"/>
        <v>0</v>
      </c>
      <c r="O107" s="208">
        <f t="shared" si="58"/>
        <v>0</v>
      </c>
      <c r="P107" s="205">
        <f t="shared" si="58"/>
        <v>0</v>
      </c>
      <c r="Q107" s="332"/>
      <c r="R107" s="328"/>
    </row>
    <row r="108" spans="2:18" s="1" customFormat="1" x14ac:dyDescent="0.25">
      <c r="B108" s="258" t="s">
        <v>421</v>
      </c>
      <c r="C108" s="259" t="s">
        <v>338</v>
      </c>
      <c r="D108" s="1327">
        <v>0.96064000000000005</v>
      </c>
      <c r="E108" s="208">
        <f>IFERROR($D$108*E159/100, 0)</f>
        <v>0</v>
      </c>
      <c r="F108" s="205">
        <f t="shared" si="56"/>
        <v>0.45073228800000009</v>
      </c>
      <c r="G108" s="209">
        <f>IFERROR($D$108*G159/100, 0)</f>
        <v>7.1663744000000001E-2</v>
      </c>
      <c r="H108" s="210">
        <f>IFERROR($D$108*H159/100, 0)</f>
        <v>0.25889248000000004</v>
      </c>
      <c r="I108" s="211">
        <f>IFERROR($D$108*I159/100, 0)</f>
        <v>0.120176064</v>
      </c>
      <c r="J108" s="205">
        <f t="shared" si="39"/>
        <v>0.50990771200000007</v>
      </c>
      <c r="K108" s="209">
        <f t="shared" ref="K108:P108" si="59">IFERROR($D$108*K159/100, 0)</f>
        <v>0.24842150400000002</v>
      </c>
      <c r="L108" s="210">
        <f t="shared" si="59"/>
        <v>0.19712332800000001</v>
      </c>
      <c r="M108" s="210">
        <f t="shared" si="59"/>
        <v>6.4362879999999997E-2</v>
      </c>
      <c r="N108" s="207">
        <f t="shared" si="59"/>
        <v>0</v>
      </c>
      <c r="O108" s="208">
        <f t="shared" si="59"/>
        <v>0</v>
      </c>
      <c r="P108" s="205">
        <f t="shared" si="59"/>
        <v>0</v>
      </c>
      <c r="Q108" s="332"/>
      <c r="R108" s="328"/>
    </row>
    <row r="109" spans="2:18" s="1" customFormat="1" x14ac:dyDescent="0.25">
      <c r="B109" s="258" t="s">
        <v>422</v>
      </c>
      <c r="C109" s="259" t="s">
        <v>340</v>
      </c>
      <c r="D109" s="1327">
        <v>2.8847900000000002</v>
      </c>
      <c r="E109" s="208">
        <f>IFERROR($D$109*E160/100, 0)</f>
        <v>0.15116299600000002</v>
      </c>
      <c r="F109" s="205">
        <f t="shared" si="56"/>
        <v>1.2828661130000001</v>
      </c>
      <c r="G109" s="209">
        <f>IFERROR($D$109*G160/100, 0)</f>
        <v>0.20395465300000001</v>
      </c>
      <c r="H109" s="210">
        <f>IFERROR($D$109*H160/100, 0)</f>
        <v>0.73706384500000011</v>
      </c>
      <c r="I109" s="211">
        <f>IFERROR($D$109*I160/100, 0)</f>
        <v>0.34184761499999999</v>
      </c>
      <c r="J109" s="205">
        <f t="shared" si="39"/>
        <v>1.4507608910000003</v>
      </c>
      <c r="K109" s="209">
        <f t="shared" ref="K109:P109" si="60">IFERROR($D$109*K160/100, 0)</f>
        <v>0.70677355000000008</v>
      </c>
      <c r="L109" s="210">
        <f t="shared" si="60"/>
        <v>0.56080317600000007</v>
      </c>
      <c r="M109" s="210">
        <f t="shared" si="60"/>
        <v>0.18318416500000001</v>
      </c>
      <c r="N109" s="207">
        <f t="shared" si="60"/>
        <v>0</v>
      </c>
      <c r="O109" s="208">
        <f t="shared" si="60"/>
        <v>0</v>
      </c>
      <c r="P109" s="205">
        <f t="shared" si="60"/>
        <v>0</v>
      </c>
      <c r="Q109" s="327"/>
      <c r="R109" s="328"/>
    </row>
    <row r="110" spans="2:18" s="1" customFormat="1" ht="15.75" thickBot="1" x14ac:dyDescent="0.3">
      <c r="B110" s="258" t="s">
        <v>423</v>
      </c>
      <c r="C110" s="249" t="s">
        <v>342</v>
      </c>
      <c r="D110" s="1328">
        <v>5.4530000000000002E-2</v>
      </c>
      <c r="E110" s="214">
        <f>IFERROR($D$110*E161/100, 0)</f>
        <v>2.8573720000000004E-3</v>
      </c>
      <c r="F110" s="215">
        <f t="shared" si="56"/>
        <v>2.4249491000000001E-2</v>
      </c>
      <c r="G110" s="216">
        <f>IFERROR($D$110*G161/100, 0)</f>
        <v>3.855271E-3</v>
      </c>
      <c r="H110" s="217">
        <f>IFERROR($D$110*H161/100, 0)</f>
        <v>1.3932415E-2</v>
      </c>
      <c r="I110" s="218">
        <f>IFERROR($D$110*I161/100, 0)</f>
        <v>6.4618050000000002E-3</v>
      </c>
      <c r="J110" s="215">
        <f t="shared" si="39"/>
        <v>2.7423137E-2</v>
      </c>
      <c r="K110" s="216">
        <f t="shared" ref="K110:P110" si="61">IFERROR($D$110*K161/100, 0)</f>
        <v>1.335985E-2</v>
      </c>
      <c r="L110" s="217">
        <f t="shared" si="61"/>
        <v>1.0600632E-2</v>
      </c>
      <c r="M110" s="217">
        <f t="shared" si="61"/>
        <v>3.4626550000000002E-3</v>
      </c>
      <c r="N110" s="213">
        <f t="shared" si="61"/>
        <v>0</v>
      </c>
      <c r="O110" s="214">
        <f t="shared" si="61"/>
        <v>0</v>
      </c>
      <c r="P110" s="215">
        <f t="shared" si="61"/>
        <v>0</v>
      </c>
      <c r="Q110" s="327"/>
      <c r="R110" s="328"/>
    </row>
    <row r="111" spans="2:18" s="1" customFormat="1" x14ac:dyDescent="0.25">
      <c r="B111" s="149" t="s">
        <v>424</v>
      </c>
      <c r="C111" s="238" t="s">
        <v>344</v>
      </c>
      <c r="D111" s="329">
        <f>SUM(D112:D114)</f>
        <v>7.1999999999999995E-2</v>
      </c>
      <c r="E111" s="152">
        <f>SUM(E112:E114)</f>
        <v>0</v>
      </c>
      <c r="F111" s="153">
        <f t="shared" si="56"/>
        <v>3.3782399999999997E-2</v>
      </c>
      <c r="G111" s="154">
        <f>SUM(G112:G114)</f>
        <v>5.3711999999999996E-3</v>
      </c>
      <c r="H111" s="155">
        <f>SUM(H112:H114)</f>
        <v>1.9403999999999998E-2</v>
      </c>
      <c r="I111" s="156">
        <f>SUM(I112:I114)</f>
        <v>9.0071999999999999E-3</v>
      </c>
      <c r="J111" s="153">
        <f t="shared" si="39"/>
        <v>3.8217599999999997E-2</v>
      </c>
      <c r="K111" s="154">
        <f t="shared" ref="K111:P111" si="62">SUM(K112:K114)</f>
        <v>1.8619199999999999E-2</v>
      </c>
      <c r="L111" s="155">
        <f t="shared" si="62"/>
        <v>1.4774399999999998E-2</v>
      </c>
      <c r="M111" s="155">
        <f t="shared" si="62"/>
        <v>4.8240000000000002E-3</v>
      </c>
      <c r="N111" s="151">
        <f t="shared" si="62"/>
        <v>0</v>
      </c>
      <c r="O111" s="152">
        <f t="shared" si="62"/>
        <v>0</v>
      </c>
      <c r="P111" s="153">
        <f t="shared" si="62"/>
        <v>0</v>
      </c>
      <c r="Q111" s="316"/>
      <c r="R111" s="317"/>
    </row>
    <row r="112" spans="2:18" s="1" customFormat="1" x14ac:dyDescent="0.25">
      <c r="B112" s="258" t="s">
        <v>425</v>
      </c>
      <c r="C112" s="259" t="s">
        <v>350</v>
      </c>
      <c r="D112" s="1329"/>
      <c r="E112" s="208">
        <f>IFERROR($D$112*E163/100, 0)</f>
        <v>0</v>
      </c>
      <c r="F112" s="205">
        <f t="shared" si="56"/>
        <v>0</v>
      </c>
      <c r="G112" s="209">
        <f>IFERROR($D$112*G163/100, 0)</f>
        <v>0</v>
      </c>
      <c r="H112" s="210">
        <f>IFERROR($D$112*H163/100, 0)</f>
        <v>0</v>
      </c>
      <c r="I112" s="211">
        <f>IFERROR($D$112*I163/100, 0)</f>
        <v>0</v>
      </c>
      <c r="J112" s="205">
        <f t="shared" si="39"/>
        <v>0</v>
      </c>
      <c r="K112" s="209">
        <f t="shared" ref="K112:P112" si="63">IFERROR($D$112*K163/100, 0)</f>
        <v>0</v>
      </c>
      <c r="L112" s="210">
        <f t="shared" si="63"/>
        <v>0</v>
      </c>
      <c r="M112" s="210">
        <f t="shared" si="63"/>
        <v>0</v>
      </c>
      <c r="N112" s="207">
        <f t="shared" si="63"/>
        <v>0</v>
      </c>
      <c r="O112" s="208">
        <f t="shared" si="63"/>
        <v>0</v>
      </c>
      <c r="P112" s="205">
        <f t="shared" si="63"/>
        <v>0</v>
      </c>
      <c r="Q112" s="327"/>
      <c r="R112" s="328"/>
    </row>
    <row r="113" spans="2:18" s="1" customFormat="1" x14ac:dyDescent="0.25">
      <c r="B113" s="261" t="s">
        <v>426</v>
      </c>
      <c r="C113" s="259" t="s">
        <v>352</v>
      </c>
      <c r="D113" s="1330"/>
      <c r="E113" s="208">
        <f>IFERROR($D$113*E164/100, 0)</f>
        <v>0</v>
      </c>
      <c r="F113" s="205">
        <f t="shared" si="56"/>
        <v>0</v>
      </c>
      <c r="G113" s="209">
        <f>IFERROR($D$113*G164/100, 0)</f>
        <v>0</v>
      </c>
      <c r="H113" s="210">
        <f>IFERROR($D$113*H164/100, 0)</f>
        <v>0</v>
      </c>
      <c r="I113" s="211">
        <f>IFERROR($D$113*I164/100, 0)</f>
        <v>0</v>
      </c>
      <c r="J113" s="205">
        <f t="shared" si="39"/>
        <v>0</v>
      </c>
      <c r="K113" s="209">
        <f t="shared" ref="K113:P113" si="64">IFERROR($D$113*K164/100, 0)</f>
        <v>0</v>
      </c>
      <c r="L113" s="210">
        <f t="shared" si="64"/>
        <v>0</v>
      </c>
      <c r="M113" s="210">
        <f t="shared" si="64"/>
        <v>0</v>
      </c>
      <c r="N113" s="207">
        <f t="shared" si="64"/>
        <v>0</v>
      </c>
      <c r="O113" s="208">
        <f t="shared" si="64"/>
        <v>0</v>
      </c>
      <c r="P113" s="205">
        <f t="shared" si="64"/>
        <v>0</v>
      </c>
      <c r="Q113" s="327"/>
      <c r="R113" s="328"/>
    </row>
    <row r="114" spans="2:18" s="1" customFormat="1" ht="15.75" thickBot="1" x14ac:dyDescent="0.3">
      <c r="B114" s="261" t="s">
        <v>427</v>
      </c>
      <c r="C114" s="249" t="s">
        <v>354</v>
      </c>
      <c r="D114" s="1330">
        <v>7.1999999999999995E-2</v>
      </c>
      <c r="E114" s="208">
        <f>IFERROR($D$114*E165/100, 0)</f>
        <v>0</v>
      </c>
      <c r="F114" s="215">
        <f t="shared" si="56"/>
        <v>3.3782399999999997E-2</v>
      </c>
      <c r="G114" s="216">
        <f>IFERROR($D$114*G165/100, 0)</f>
        <v>5.3711999999999996E-3</v>
      </c>
      <c r="H114" s="217">
        <f>IFERROR($D$114*H165/100, 0)</f>
        <v>1.9403999999999998E-2</v>
      </c>
      <c r="I114" s="218">
        <f>IFERROR($D$114*I165/100, 0)</f>
        <v>9.0071999999999999E-3</v>
      </c>
      <c r="J114" s="215">
        <f t="shared" si="39"/>
        <v>3.8217599999999997E-2</v>
      </c>
      <c r="K114" s="216">
        <f t="shared" ref="K114:P114" si="65">IFERROR($D$114*K165/100, 0)</f>
        <v>1.8619199999999999E-2</v>
      </c>
      <c r="L114" s="217">
        <f t="shared" si="65"/>
        <v>1.4774399999999998E-2</v>
      </c>
      <c r="M114" s="217">
        <f t="shared" si="65"/>
        <v>4.8240000000000002E-3</v>
      </c>
      <c r="N114" s="213">
        <f t="shared" si="65"/>
        <v>0</v>
      </c>
      <c r="O114" s="214">
        <f t="shared" si="65"/>
        <v>0</v>
      </c>
      <c r="P114" s="215">
        <f t="shared" si="65"/>
        <v>0</v>
      </c>
      <c r="Q114" s="327"/>
      <c r="R114" s="328"/>
    </row>
    <row r="115" spans="2:18" s="1" customFormat="1" x14ac:dyDescent="0.25">
      <c r="B115" s="149" t="s">
        <v>428</v>
      </c>
      <c r="C115" s="238" t="s">
        <v>356</v>
      </c>
      <c r="D115" s="329">
        <f>SUM(D116:D117)</f>
        <v>0</v>
      </c>
      <c r="E115" s="152">
        <f>E116+E117</f>
        <v>0</v>
      </c>
      <c r="F115" s="153">
        <f t="shared" si="56"/>
        <v>0</v>
      </c>
      <c r="G115" s="154">
        <f>G116+G117</f>
        <v>0</v>
      </c>
      <c r="H115" s="155">
        <f>H116+H117</f>
        <v>0</v>
      </c>
      <c r="I115" s="156">
        <f>I116+I117</f>
        <v>0</v>
      </c>
      <c r="J115" s="153">
        <f t="shared" si="39"/>
        <v>0</v>
      </c>
      <c r="K115" s="154">
        <f t="shared" ref="K115:P115" si="66">K116+K117</f>
        <v>0</v>
      </c>
      <c r="L115" s="155">
        <f t="shared" si="66"/>
        <v>0</v>
      </c>
      <c r="M115" s="155">
        <f t="shared" si="66"/>
        <v>0</v>
      </c>
      <c r="N115" s="151">
        <f t="shared" si="66"/>
        <v>0</v>
      </c>
      <c r="O115" s="152">
        <f t="shared" si="66"/>
        <v>0</v>
      </c>
      <c r="P115" s="153">
        <f t="shared" si="66"/>
        <v>0</v>
      </c>
      <c r="Q115" s="316"/>
      <c r="R115" s="317"/>
    </row>
    <row r="116" spans="2:18" s="1" customFormat="1" x14ac:dyDescent="0.25">
      <c r="B116" s="258" t="s">
        <v>429</v>
      </c>
      <c r="C116" s="259" t="s">
        <v>358</v>
      </c>
      <c r="D116" s="334"/>
      <c r="E116" s="208">
        <f>IFERROR($D$116*E167/100, 0)</f>
        <v>0</v>
      </c>
      <c r="F116" s="205">
        <f t="shared" si="56"/>
        <v>0</v>
      </c>
      <c r="G116" s="209">
        <f>IFERROR($D$116*G167/100, 0)</f>
        <v>0</v>
      </c>
      <c r="H116" s="210">
        <f>IFERROR($D$116*H167/100, 0)</f>
        <v>0</v>
      </c>
      <c r="I116" s="211">
        <f>IFERROR($D$116*I167/100, 0)</f>
        <v>0</v>
      </c>
      <c r="J116" s="205">
        <f t="shared" si="39"/>
        <v>0</v>
      </c>
      <c r="K116" s="209">
        <f t="shared" ref="K116:P116" si="67">IFERROR($D$116*K167/100, 0)</f>
        <v>0</v>
      </c>
      <c r="L116" s="210">
        <f t="shared" si="67"/>
        <v>0</v>
      </c>
      <c r="M116" s="210">
        <f t="shared" si="67"/>
        <v>0</v>
      </c>
      <c r="N116" s="207">
        <f t="shared" si="67"/>
        <v>0</v>
      </c>
      <c r="O116" s="208">
        <f t="shared" si="67"/>
        <v>0</v>
      </c>
      <c r="P116" s="205">
        <f t="shared" si="67"/>
        <v>0</v>
      </c>
      <c r="Q116" s="327"/>
      <c r="R116" s="328"/>
    </row>
    <row r="117" spans="2:18" s="1" customFormat="1" ht="15.75" thickBot="1" x14ac:dyDescent="0.3">
      <c r="B117" s="261" t="s">
        <v>430</v>
      </c>
      <c r="C117" s="249" t="s">
        <v>360</v>
      </c>
      <c r="D117" s="335"/>
      <c r="E117" s="214">
        <f>IFERROR($D$117*E168/100, 0)</f>
        <v>0</v>
      </c>
      <c r="F117" s="215">
        <f t="shared" si="56"/>
        <v>0</v>
      </c>
      <c r="G117" s="216">
        <f>IFERROR($D$117*G168/100, 0)</f>
        <v>0</v>
      </c>
      <c r="H117" s="217">
        <f>IFERROR($D$117*H168/100, 0)</f>
        <v>0</v>
      </c>
      <c r="I117" s="218">
        <f>IFERROR($D$117*I168/100, 0)</f>
        <v>0</v>
      </c>
      <c r="J117" s="215">
        <f t="shared" si="39"/>
        <v>0</v>
      </c>
      <c r="K117" s="216">
        <f t="shared" ref="K117:P117" si="68">IFERROR($D$117*K168/100, 0)</f>
        <v>0</v>
      </c>
      <c r="L117" s="217">
        <f t="shared" si="68"/>
        <v>0</v>
      </c>
      <c r="M117" s="217">
        <f t="shared" si="68"/>
        <v>0</v>
      </c>
      <c r="N117" s="213">
        <f t="shared" si="68"/>
        <v>0</v>
      </c>
      <c r="O117" s="214">
        <f t="shared" si="68"/>
        <v>0</v>
      </c>
      <c r="P117" s="215">
        <f t="shared" si="68"/>
        <v>0</v>
      </c>
      <c r="Q117" s="327"/>
      <c r="R117" s="328"/>
    </row>
    <row r="118" spans="2:18" s="1" customFormat="1" x14ac:dyDescent="0.25">
      <c r="B118" s="149" t="s">
        <v>431</v>
      </c>
      <c r="C118" s="238" t="s">
        <v>362</v>
      </c>
      <c r="D118" s="329">
        <f>SUM(D119:D132)</f>
        <v>1.15479</v>
      </c>
      <c r="E118" s="152">
        <f>SUM(E119:E132)</f>
        <v>0</v>
      </c>
      <c r="F118" s="153">
        <f t="shared" si="56"/>
        <v>0.54182746800000003</v>
      </c>
      <c r="G118" s="154">
        <f>SUM(G119:G132)</f>
        <v>8.6147333999999992E-2</v>
      </c>
      <c r="H118" s="155">
        <f>SUM(H119:H132)</f>
        <v>0.31121590500000001</v>
      </c>
      <c r="I118" s="156">
        <f>SUM(I119:I132)</f>
        <v>0.144464229</v>
      </c>
      <c r="J118" s="153">
        <f t="shared" si="39"/>
        <v>0.61296253200000006</v>
      </c>
      <c r="K118" s="154">
        <f t="shared" ref="K118:P118" si="69">SUM(K119:K132)</f>
        <v>0.29862869399999997</v>
      </c>
      <c r="L118" s="155">
        <f t="shared" si="69"/>
        <v>0.236962908</v>
      </c>
      <c r="M118" s="155">
        <f t="shared" si="69"/>
        <v>7.7370930000000004E-2</v>
      </c>
      <c r="N118" s="151">
        <f t="shared" si="69"/>
        <v>0</v>
      </c>
      <c r="O118" s="152">
        <f t="shared" si="69"/>
        <v>0</v>
      </c>
      <c r="P118" s="153">
        <f t="shared" si="69"/>
        <v>0</v>
      </c>
      <c r="Q118" s="316"/>
      <c r="R118" s="317"/>
    </row>
    <row r="119" spans="2:18" s="1" customFormat="1" x14ac:dyDescent="0.25">
      <c r="B119" s="258" t="s">
        <v>432</v>
      </c>
      <c r="C119" s="259" t="s">
        <v>364</v>
      </c>
      <c r="D119" s="1331"/>
      <c r="E119" s="208">
        <f>IFERROR($D$119*E170/100, 0)</f>
        <v>0</v>
      </c>
      <c r="F119" s="205">
        <f t="shared" si="56"/>
        <v>0</v>
      </c>
      <c r="G119" s="209">
        <f>IFERROR($D$119*G170/100, 0)</f>
        <v>0</v>
      </c>
      <c r="H119" s="210">
        <f>IFERROR($D$119*H170/100, 0)</f>
        <v>0</v>
      </c>
      <c r="I119" s="211">
        <f>IFERROR($D$119*I170/100, 0)</f>
        <v>0</v>
      </c>
      <c r="J119" s="205">
        <f t="shared" si="39"/>
        <v>0</v>
      </c>
      <c r="K119" s="209">
        <f t="shared" ref="K119:P119" si="70">IFERROR($D$119*K170/100, 0)</f>
        <v>0</v>
      </c>
      <c r="L119" s="210">
        <f t="shared" si="70"/>
        <v>0</v>
      </c>
      <c r="M119" s="210">
        <f t="shared" si="70"/>
        <v>0</v>
      </c>
      <c r="N119" s="207">
        <f t="shared" si="70"/>
        <v>0</v>
      </c>
      <c r="O119" s="208">
        <f t="shared" si="70"/>
        <v>0</v>
      </c>
      <c r="P119" s="205">
        <f t="shared" si="70"/>
        <v>0</v>
      </c>
      <c r="Q119" s="327"/>
      <c r="R119" s="328"/>
    </row>
    <row r="120" spans="2:18" s="1" customFormat="1" x14ac:dyDescent="0.25">
      <c r="B120" s="258" t="s">
        <v>433</v>
      </c>
      <c r="C120" s="259" t="s">
        <v>366</v>
      </c>
      <c r="D120" s="1331"/>
      <c r="E120" s="208">
        <f>IFERROR($D$120*E171/100, 0)</f>
        <v>0</v>
      </c>
      <c r="F120" s="205">
        <f t="shared" si="56"/>
        <v>0</v>
      </c>
      <c r="G120" s="209">
        <f>IFERROR($D$120*G171/100, 0)</f>
        <v>0</v>
      </c>
      <c r="H120" s="210">
        <f>IFERROR($D$120*H171/100, 0)</f>
        <v>0</v>
      </c>
      <c r="I120" s="211">
        <f>IFERROR($D$120*I171/100, 0)</f>
        <v>0</v>
      </c>
      <c r="J120" s="205">
        <f t="shared" si="39"/>
        <v>0</v>
      </c>
      <c r="K120" s="209">
        <f t="shared" ref="K120:P120" si="71">IFERROR($D$120*K171/100, 0)</f>
        <v>0</v>
      </c>
      <c r="L120" s="210">
        <f t="shared" si="71"/>
        <v>0</v>
      </c>
      <c r="M120" s="210">
        <f t="shared" si="71"/>
        <v>0</v>
      </c>
      <c r="N120" s="207">
        <f t="shared" si="71"/>
        <v>0</v>
      </c>
      <c r="O120" s="208">
        <f t="shared" si="71"/>
        <v>0</v>
      </c>
      <c r="P120" s="205">
        <f t="shared" si="71"/>
        <v>0</v>
      </c>
      <c r="Q120" s="327"/>
      <c r="R120" s="328"/>
    </row>
    <row r="121" spans="2:18" s="1" customFormat="1" x14ac:dyDescent="0.25">
      <c r="B121" s="258" t="s">
        <v>434</v>
      </c>
      <c r="C121" s="259" t="s">
        <v>368</v>
      </c>
      <c r="D121" s="1331"/>
      <c r="E121" s="208">
        <f>IFERROR($D$121*E172/100, 0)</f>
        <v>0</v>
      </c>
      <c r="F121" s="205">
        <f t="shared" si="56"/>
        <v>0</v>
      </c>
      <c r="G121" s="209">
        <f>IFERROR($D$121*G172/100, 0)</f>
        <v>0</v>
      </c>
      <c r="H121" s="210">
        <f>IFERROR($D$121*H172/100, 0)</f>
        <v>0</v>
      </c>
      <c r="I121" s="211">
        <f>IFERROR($D$121*I172/100, 0)</f>
        <v>0</v>
      </c>
      <c r="J121" s="205">
        <f t="shared" ref="J121:J140" si="72">SUM(K121:M121)</f>
        <v>0</v>
      </c>
      <c r="K121" s="209">
        <f t="shared" ref="K121:P121" si="73">IFERROR($D$121*K172/100, 0)</f>
        <v>0</v>
      </c>
      <c r="L121" s="210">
        <f t="shared" si="73"/>
        <v>0</v>
      </c>
      <c r="M121" s="210">
        <f t="shared" si="73"/>
        <v>0</v>
      </c>
      <c r="N121" s="207">
        <f t="shared" si="73"/>
        <v>0</v>
      </c>
      <c r="O121" s="208">
        <f t="shared" si="73"/>
        <v>0</v>
      </c>
      <c r="P121" s="205">
        <f t="shared" si="73"/>
        <v>0</v>
      </c>
      <c r="Q121" s="327"/>
      <c r="R121" s="328"/>
    </row>
    <row r="122" spans="2:18" s="1" customFormat="1" x14ac:dyDescent="0.25">
      <c r="B122" s="258" t="s">
        <v>435</v>
      </c>
      <c r="C122" s="259" t="s">
        <v>370</v>
      </c>
      <c r="D122" s="1331">
        <v>1.02088</v>
      </c>
      <c r="E122" s="208">
        <f>IFERROR($D$122*E173/100, 0)</f>
        <v>0</v>
      </c>
      <c r="F122" s="205">
        <f t="shared" si="56"/>
        <v>0.47899689600000006</v>
      </c>
      <c r="G122" s="209">
        <f>IFERROR($D$122*G173/100, 0)</f>
        <v>7.6157647999999994E-2</v>
      </c>
      <c r="H122" s="210">
        <f>IFERROR($D$122*H173/100, 0)</f>
        <v>0.27512716000000004</v>
      </c>
      <c r="I122" s="211">
        <f>IFERROR($D$122*I173/100, 0)</f>
        <v>0.127712088</v>
      </c>
      <c r="J122" s="205">
        <f t="shared" si="72"/>
        <v>0.54188310399999995</v>
      </c>
      <c r="K122" s="209">
        <f t="shared" ref="K122:P122" si="74">IFERROR($D$122*K173/100, 0)</f>
        <v>0.26399956799999996</v>
      </c>
      <c r="L122" s="210">
        <f t="shared" si="74"/>
        <v>0.20948457600000001</v>
      </c>
      <c r="M122" s="210">
        <f t="shared" si="74"/>
        <v>6.8398960000000009E-2</v>
      </c>
      <c r="N122" s="207">
        <f t="shared" si="74"/>
        <v>0</v>
      </c>
      <c r="O122" s="208">
        <f t="shared" si="74"/>
        <v>0</v>
      </c>
      <c r="P122" s="205">
        <f t="shared" si="74"/>
        <v>0</v>
      </c>
      <c r="Q122" s="327"/>
      <c r="R122" s="328"/>
    </row>
    <row r="123" spans="2:18" s="1" customFormat="1" x14ac:dyDescent="0.25">
      <c r="B123" s="258" t="s">
        <v>436</v>
      </c>
      <c r="C123" s="259" t="s">
        <v>372</v>
      </c>
      <c r="D123" s="1331"/>
      <c r="E123" s="208">
        <f>IFERROR($D$123*E174/100, 0)</f>
        <v>0</v>
      </c>
      <c r="F123" s="205">
        <f t="shared" si="56"/>
        <v>0</v>
      </c>
      <c r="G123" s="209">
        <f>IFERROR($D$123*G174/100, 0)</f>
        <v>0</v>
      </c>
      <c r="H123" s="210">
        <f>IFERROR($D$123*H174/100, 0)</f>
        <v>0</v>
      </c>
      <c r="I123" s="211">
        <f>IFERROR($D$123*I174/100, 0)</f>
        <v>0</v>
      </c>
      <c r="J123" s="205">
        <f t="shared" si="72"/>
        <v>0</v>
      </c>
      <c r="K123" s="209">
        <f t="shared" ref="K123:P123" si="75">IFERROR($D$123*K174/100, 0)</f>
        <v>0</v>
      </c>
      <c r="L123" s="210">
        <f t="shared" si="75"/>
        <v>0</v>
      </c>
      <c r="M123" s="210">
        <f t="shared" si="75"/>
        <v>0</v>
      </c>
      <c r="N123" s="207">
        <f t="shared" si="75"/>
        <v>0</v>
      </c>
      <c r="O123" s="208">
        <f t="shared" si="75"/>
        <v>0</v>
      </c>
      <c r="P123" s="205">
        <f t="shared" si="75"/>
        <v>0</v>
      </c>
      <c r="Q123" s="327"/>
      <c r="R123" s="328"/>
    </row>
    <row r="124" spans="2:18" s="1" customFormat="1" x14ac:dyDescent="0.25">
      <c r="B124" s="258" t="s">
        <v>437</v>
      </c>
      <c r="C124" s="259" t="s">
        <v>374</v>
      </c>
      <c r="D124" s="1332">
        <v>0.13391</v>
      </c>
      <c r="E124" s="208">
        <f>IFERROR($D$124*E175/100, 0)</f>
        <v>0</v>
      </c>
      <c r="F124" s="205">
        <f t="shared" si="56"/>
        <v>6.2830572000000001E-2</v>
      </c>
      <c r="G124" s="209">
        <f>IFERROR($D$124*G175/100, 0)</f>
        <v>9.9896859999999994E-3</v>
      </c>
      <c r="H124" s="210">
        <f>IFERROR($D$124*H175/100, 0)</f>
        <v>3.6088744999999998E-2</v>
      </c>
      <c r="I124" s="211">
        <f>IFERROR($D$124*I175/100, 0)</f>
        <v>1.6752141000000002E-2</v>
      </c>
      <c r="J124" s="205">
        <f t="shared" si="72"/>
        <v>7.1079428E-2</v>
      </c>
      <c r="K124" s="209">
        <f t="shared" ref="K124:P124" si="76">IFERROR($D$124*K175/100, 0)</f>
        <v>3.4629126000000003E-2</v>
      </c>
      <c r="L124" s="210">
        <f t="shared" si="76"/>
        <v>2.7478332000000001E-2</v>
      </c>
      <c r="M124" s="210">
        <f t="shared" si="76"/>
        <v>8.971970000000001E-3</v>
      </c>
      <c r="N124" s="207">
        <f t="shared" si="76"/>
        <v>0</v>
      </c>
      <c r="O124" s="208">
        <f t="shared" si="76"/>
        <v>0</v>
      </c>
      <c r="P124" s="205">
        <f t="shared" si="76"/>
        <v>0</v>
      </c>
      <c r="Q124" s="327"/>
      <c r="R124" s="328"/>
    </row>
    <row r="125" spans="2:18" s="1" customFormat="1" x14ac:dyDescent="0.25">
      <c r="B125" s="258" t="s">
        <v>438</v>
      </c>
      <c r="C125" s="259" t="s">
        <v>376</v>
      </c>
      <c r="D125" s="1331"/>
      <c r="E125" s="208">
        <f>IFERROR($D$125*E176/100, 0)</f>
        <v>0</v>
      </c>
      <c r="F125" s="205">
        <f t="shared" si="56"/>
        <v>0</v>
      </c>
      <c r="G125" s="209">
        <f>IFERROR($D$125*G176/100, 0)</f>
        <v>0</v>
      </c>
      <c r="H125" s="210">
        <f>IFERROR($D$125*H176/100, 0)</f>
        <v>0</v>
      </c>
      <c r="I125" s="211">
        <f>IFERROR($D$125*I176/100, 0)</f>
        <v>0</v>
      </c>
      <c r="J125" s="205">
        <f t="shared" si="72"/>
        <v>0</v>
      </c>
      <c r="K125" s="209">
        <f t="shared" ref="K125:P125" si="77">IFERROR($D$125*K176/100, 0)</f>
        <v>0</v>
      </c>
      <c r="L125" s="210">
        <f t="shared" si="77"/>
        <v>0</v>
      </c>
      <c r="M125" s="210">
        <f t="shared" si="77"/>
        <v>0</v>
      </c>
      <c r="N125" s="207">
        <f t="shared" si="77"/>
        <v>0</v>
      </c>
      <c r="O125" s="208">
        <f t="shared" si="77"/>
        <v>0</v>
      </c>
      <c r="P125" s="205">
        <f t="shared" si="77"/>
        <v>0</v>
      </c>
      <c r="Q125" s="327"/>
      <c r="R125" s="328"/>
    </row>
    <row r="126" spans="2:18" s="1" customFormat="1" x14ac:dyDescent="0.25">
      <c r="B126" s="258" t="s">
        <v>439</v>
      </c>
      <c r="C126" s="259" t="s">
        <v>378</v>
      </c>
      <c r="D126" s="1331"/>
      <c r="E126" s="208">
        <f>IFERROR($D$126*E177/100, 0)</f>
        <v>0</v>
      </c>
      <c r="F126" s="205">
        <f t="shared" si="56"/>
        <v>0</v>
      </c>
      <c r="G126" s="209">
        <f>IFERROR($D$126*G177/100, 0)</f>
        <v>0</v>
      </c>
      <c r="H126" s="210">
        <f>IFERROR($D$126*H177/100, 0)</f>
        <v>0</v>
      </c>
      <c r="I126" s="211">
        <f>IFERROR($D$126*I177/100, 0)</f>
        <v>0</v>
      </c>
      <c r="J126" s="205">
        <f t="shared" si="72"/>
        <v>0</v>
      </c>
      <c r="K126" s="209">
        <f t="shared" ref="K126:P126" si="78">IFERROR($D$126*K177/100, 0)</f>
        <v>0</v>
      </c>
      <c r="L126" s="210">
        <f t="shared" si="78"/>
        <v>0</v>
      </c>
      <c r="M126" s="210">
        <f t="shared" si="78"/>
        <v>0</v>
      </c>
      <c r="N126" s="207">
        <f t="shared" si="78"/>
        <v>0</v>
      </c>
      <c r="O126" s="208">
        <f t="shared" si="78"/>
        <v>0</v>
      </c>
      <c r="P126" s="205">
        <f t="shared" si="78"/>
        <v>0</v>
      </c>
      <c r="Q126" s="327"/>
      <c r="R126" s="328"/>
    </row>
    <row r="127" spans="2:18" s="1" customFormat="1" x14ac:dyDescent="0.25">
      <c r="B127" s="258" t="s">
        <v>440</v>
      </c>
      <c r="C127" s="259" t="s">
        <v>380</v>
      </c>
      <c r="D127" s="1331"/>
      <c r="E127" s="208">
        <f>IFERROR($D$127*E178/100, 0)</f>
        <v>0</v>
      </c>
      <c r="F127" s="205">
        <f t="shared" si="56"/>
        <v>0</v>
      </c>
      <c r="G127" s="209">
        <f>IFERROR($D$127*G178/100, 0)</f>
        <v>0</v>
      </c>
      <c r="H127" s="210">
        <f>IFERROR($D$127*H178/100, 0)</f>
        <v>0</v>
      </c>
      <c r="I127" s="211">
        <f>IFERROR($D$127*I178/100, 0)</f>
        <v>0</v>
      </c>
      <c r="J127" s="205">
        <f t="shared" si="72"/>
        <v>0</v>
      </c>
      <c r="K127" s="209">
        <f t="shared" ref="K127:P127" si="79">IFERROR($D$127*K178/100, 0)</f>
        <v>0</v>
      </c>
      <c r="L127" s="210">
        <f t="shared" si="79"/>
        <v>0</v>
      </c>
      <c r="M127" s="210">
        <f t="shared" si="79"/>
        <v>0</v>
      </c>
      <c r="N127" s="207">
        <f t="shared" si="79"/>
        <v>0</v>
      </c>
      <c r="O127" s="208">
        <f t="shared" si="79"/>
        <v>0</v>
      </c>
      <c r="P127" s="205">
        <f t="shared" si="79"/>
        <v>0</v>
      </c>
      <c r="Q127" s="327"/>
      <c r="R127" s="328"/>
    </row>
    <row r="128" spans="2:18" s="1" customFormat="1" x14ac:dyDescent="0.25">
      <c r="B128" s="258" t="s">
        <v>441</v>
      </c>
      <c r="C128" s="259" t="s">
        <v>382</v>
      </c>
      <c r="D128" s="1331"/>
      <c r="E128" s="208">
        <f>IFERROR($D$128*E179/100, 0)</f>
        <v>0</v>
      </c>
      <c r="F128" s="205">
        <f t="shared" si="56"/>
        <v>0</v>
      </c>
      <c r="G128" s="209">
        <f>IFERROR($D$128*G179/100, 0)</f>
        <v>0</v>
      </c>
      <c r="H128" s="210">
        <f>IFERROR($D$128*H179/100, 0)</f>
        <v>0</v>
      </c>
      <c r="I128" s="211">
        <f>IFERROR($D$128*I179/100, 0)</f>
        <v>0</v>
      </c>
      <c r="J128" s="205">
        <f t="shared" si="72"/>
        <v>0</v>
      </c>
      <c r="K128" s="209">
        <f t="shared" ref="K128:P128" si="80">IFERROR($D$128*K179/100, 0)</f>
        <v>0</v>
      </c>
      <c r="L128" s="210">
        <f t="shared" si="80"/>
        <v>0</v>
      </c>
      <c r="M128" s="210">
        <f t="shared" si="80"/>
        <v>0</v>
      </c>
      <c r="N128" s="207">
        <f t="shared" si="80"/>
        <v>0</v>
      </c>
      <c r="O128" s="208">
        <f t="shared" si="80"/>
        <v>0</v>
      </c>
      <c r="P128" s="205">
        <f t="shared" si="80"/>
        <v>0</v>
      </c>
      <c r="Q128" s="327"/>
      <c r="R128" s="328"/>
    </row>
    <row r="129" spans="2:18" s="1" customFormat="1" x14ac:dyDescent="0.25">
      <c r="B129" s="258" t="s">
        <v>442</v>
      </c>
      <c r="C129" s="259" t="s">
        <v>384</v>
      </c>
      <c r="D129" s="1331"/>
      <c r="E129" s="208">
        <f>IFERROR($D$129*E180/100, 0)</f>
        <v>0</v>
      </c>
      <c r="F129" s="205">
        <f t="shared" si="56"/>
        <v>0</v>
      </c>
      <c r="G129" s="209">
        <f>IFERROR($D$129*G180/100, 0)</f>
        <v>0</v>
      </c>
      <c r="H129" s="210">
        <f>IFERROR($D$129*H180/100, 0)</f>
        <v>0</v>
      </c>
      <c r="I129" s="211">
        <f>IFERROR($D$129*I180/100, 0)</f>
        <v>0</v>
      </c>
      <c r="J129" s="205">
        <f t="shared" si="72"/>
        <v>0</v>
      </c>
      <c r="K129" s="209">
        <f t="shared" ref="K129:P129" si="81">IFERROR($D$129*K180/100, 0)</f>
        <v>0</v>
      </c>
      <c r="L129" s="210">
        <f t="shared" si="81"/>
        <v>0</v>
      </c>
      <c r="M129" s="210">
        <f t="shared" si="81"/>
        <v>0</v>
      </c>
      <c r="N129" s="207">
        <f t="shared" si="81"/>
        <v>0</v>
      </c>
      <c r="O129" s="208">
        <f t="shared" si="81"/>
        <v>0</v>
      </c>
      <c r="P129" s="205">
        <f t="shared" si="81"/>
        <v>0</v>
      </c>
      <c r="Q129" s="327"/>
      <c r="R129" s="328"/>
    </row>
    <row r="130" spans="2:18" s="1" customFormat="1" x14ac:dyDescent="0.25">
      <c r="B130" s="258" t="s">
        <v>443</v>
      </c>
      <c r="C130" s="259" t="s">
        <v>386</v>
      </c>
      <c r="D130" s="1331"/>
      <c r="E130" s="208">
        <f>IFERROR($D$130*E181/100, 0)</f>
        <v>0</v>
      </c>
      <c r="F130" s="205">
        <f t="shared" si="56"/>
        <v>0</v>
      </c>
      <c r="G130" s="209">
        <f>IFERROR($D$130*G181/100, 0)</f>
        <v>0</v>
      </c>
      <c r="H130" s="210">
        <f>IFERROR($D$130*H181/100, 0)</f>
        <v>0</v>
      </c>
      <c r="I130" s="211">
        <f>IFERROR($D$130*I181/100, 0)</f>
        <v>0</v>
      </c>
      <c r="J130" s="205">
        <f t="shared" si="72"/>
        <v>0</v>
      </c>
      <c r="K130" s="209">
        <f t="shared" ref="K130:P130" si="82">IFERROR($D$130*K181/100, 0)</f>
        <v>0</v>
      </c>
      <c r="L130" s="210">
        <f t="shared" si="82"/>
        <v>0</v>
      </c>
      <c r="M130" s="210">
        <f t="shared" si="82"/>
        <v>0</v>
      </c>
      <c r="N130" s="207">
        <f t="shared" si="82"/>
        <v>0</v>
      </c>
      <c r="O130" s="208">
        <f t="shared" si="82"/>
        <v>0</v>
      </c>
      <c r="P130" s="205">
        <f t="shared" si="82"/>
        <v>0</v>
      </c>
      <c r="Q130" s="327"/>
      <c r="R130" s="328"/>
    </row>
    <row r="131" spans="2:18" s="1" customFormat="1" x14ac:dyDescent="0.25">
      <c r="B131" s="258" t="s">
        <v>444</v>
      </c>
      <c r="C131" s="259" t="s">
        <v>388</v>
      </c>
      <c r="D131" s="1331"/>
      <c r="E131" s="208">
        <f>IFERROR($D$131*E182/100, 0)</f>
        <v>0</v>
      </c>
      <c r="F131" s="205">
        <f t="shared" si="56"/>
        <v>0</v>
      </c>
      <c r="G131" s="209">
        <f>IFERROR($D$131*G182/100, 0)</f>
        <v>0</v>
      </c>
      <c r="H131" s="210">
        <f>IFERROR($D$131*H182/100, 0)</f>
        <v>0</v>
      </c>
      <c r="I131" s="211">
        <f>IFERROR($D$131*I182/100, 0)</f>
        <v>0</v>
      </c>
      <c r="J131" s="205">
        <f t="shared" si="72"/>
        <v>0</v>
      </c>
      <c r="K131" s="209">
        <f t="shared" ref="K131:P131" si="83">IFERROR($D$131*K182/100, 0)</f>
        <v>0</v>
      </c>
      <c r="L131" s="210">
        <f t="shared" si="83"/>
        <v>0</v>
      </c>
      <c r="M131" s="210">
        <f t="shared" si="83"/>
        <v>0</v>
      </c>
      <c r="N131" s="207">
        <f t="shared" si="83"/>
        <v>0</v>
      </c>
      <c r="O131" s="208">
        <f t="shared" si="83"/>
        <v>0</v>
      </c>
      <c r="P131" s="205">
        <f t="shared" si="83"/>
        <v>0</v>
      </c>
      <c r="Q131" s="327"/>
      <c r="R131" s="328"/>
    </row>
    <row r="132" spans="2:18" s="1" customFormat="1" ht="15.75" thickBot="1" x14ac:dyDescent="0.3">
      <c r="B132" s="281" t="s">
        <v>445</v>
      </c>
      <c r="C132" s="282" t="s">
        <v>390</v>
      </c>
      <c r="D132" s="1333"/>
      <c r="E132" s="337">
        <f>IFERROR($D$132*E183/100, 0)</f>
        <v>0</v>
      </c>
      <c r="F132" s="338">
        <f t="shared" si="56"/>
        <v>0</v>
      </c>
      <c r="G132" s="339">
        <f>IFERROR($D$132*G183/100, 0)</f>
        <v>0</v>
      </c>
      <c r="H132" s="340">
        <f>IFERROR($D$132*H183/100, 0)</f>
        <v>0</v>
      </c>
      <c r="I132" s="341">
        <f>IFERROR($D$132*I183/100, 0)</f>
        <v>0</v>
      </c>
      <c r="J132" s="338">
        <f t="shared" si="72"/>
        <v>0</v>
      </c>
      <c r="K132" s="339">
        <f t="shared" ref="K132:P132" si="84">IFERROR($D$132*K183/100, 0)</f>
        <v>0</v>
      </c>
      <c r="L132" s="340">
        <f t="shared" si="84"/>
        <v>0</v>
      </c>
      <c r="M132" s="340">
        <f t="shared" si="84"/>
        <v>0</v>
      </c>
      <c r="N132" s="342">
        <f t="shared" si="84"/>
        <v>0</v>
      </c>
      <c r="O132" s="337">
        <f t="shared" si="84"/>
        <v>0</v>
      </c>
      <c r="P132" s="338">
        <f t="shared" si="84"/>
        <v>0</v>
      </c>
      <c r="Q132" s="327"/>
      <c r="R132" s="328"/>
    </row>
    <row r="133" spans="2:18" s="1" customFormat="1" ht="15.75" thickBot="1" x14ac:dyDescent="0.3">
      <c r="B133" s="289" t="s">
        <v>446</v>
      </c>
      <c r="C133" s="290" t="s">
        <v>392</v>
      </c>
      <c r="D133" s="1334">
        <v>20.855319999999999</v>
      </c>
      <c r="E133" s="343">
        <f>IFERROR($D$133*E184/100, 0)</f>
        <v>1.0928187679999999</v>
      </c>
      <c r="F133" s="293">
        <f t="shared" si="56"/>
        <v>9.2743608040000005</v>
      </c>
      <c r="G133" s="344">
        <f>IFERROR($D$133*G184/100, 0)</f>
        <v>1.4744711240000001</v>
      </c>
      <c r="H133" s="345">
        <f>IFERROR($D$133*H184/100, 0)</f>
        <v>5.3285342600000005</v>
      </c>
      <c r="I133" s="346">
        <f>IFERROR($D$133*I184/100, 0)</f>
        <v>2.4713554200000001</v>
      </c>
      <c r="J133" s="293">
        <f t="shared" si="72"/>
        <v>10.488140427999998</v>
      </c>
      <c r="K133" s="344">
        <f t="shared" ref="K133:P133" si="85">IFERROR($D$133*K184/100, 0)</f>
        <v>5.1095533999999994</v>
      </c>
      <c r="L133" s="345">
        <f t="shared" si="85"/>
        <v>4.0542742079999998</v>
      </c>
      <c r="M133" s="345">
        <f t="shared" si="85"/>
        <v>1.3243128199999998</v>
      </c>
      <c r="N133" s="291">
        <f t="shared" si="85"/>
        <v>0</v>
      </c>
      <c r="O133" s="343">
        <f t="shared" si="85"/>
        <v>0</v>
      </c>
      <c r="P133" s="293">
        <f t="shared" si="85"/>
        <v>0</v>
      </c>
      <c r="Q133" s="316"/>
      <c r="R133" s="317"/>
    </row>
    <row r="134" spans="2:18" s="1" customFormat="1" x14ac:dyDescent="0.25">
      <c r="B134" s="149" t="s">
        <v>447</v>
      </c>
      <c r="C134" s="203" t="s">
        <v>394</v>
      </c>
      <c r="D134" s="329">
        <f>SUM(D135:D140)</f>
        <v>14.196349999999999</v>
      </c>
      <c r="E134" s="152">
        <f>SUM(E135:E140)</f>
        <v>0</v>
      </c>
      <c r="F134" s="153">
        <f t="shared" si="56"/>
        <v>6.6609274199999993</v>
      </c>
      <c r="G134" s="154">
        <f>SUM(G135:G140)</f>
        <v>1.05904771</v>
      </c>
      <c r="H134" s="155">
        <f>SUM(H135:H140)</f>
        <v>3.8259163249999997</v>
      </c>
      <c r="I134" s="156">
        <f>SUM(I135:I140)</f>
        <v>1.7759633849999998</v>
      </c>
      <c r="J134" s="153">
        <f t="shared" si="72"/>
        <v>7.5354225799999996</v>
      </c>
      <c r="K134" s="154">
        <f t="shared" ref="K134:P134" si="86">SUM(K135:K140)</f>
        <v>3.6711761100000002</v>
      </c>
      <c r="L134" s="155">
        <f t="shared" si="86"/>
        <v>2.9130910199999995</v>
      </c>
      <c r="M134" s="155">
        <f t="shared" si="86"/>
        <v>0.95115545000000001</v>
      </c>
      <c r="N134" s="151">
        <f t="shared" si="86"/>
        <v>0</v>
      </c>
      <c r="O134" s="152">
        <f t="shared" si="86"/>
        <v>0</v>
      </c>
      <c r="P134" s="153">
        <f t="shared" si="86"/>
        <v>0</v>
      </c>
      <c r="Q134" s="316"/>
      <c r="R134" s="317"/>
    </row>
    <row r="135" spans="2:18" s="1" customFormat="1" x14ac:dyDescent="0.25">
      <c r="B135" s="166" t="s">
        <v>448</v>
      </c>
      <c r="C135" s="347" t="s">
        <v>396</v>
      </c>
      <c r="D135" s="1340"/>
      <c r="E135" s="348">
        <f>IFERROR($D$135*E185/100, 0)</f>
        <v>0</v>
      </c>
      <c r="F135" s="304">
        <f t="shared" si="56"/>
        <v>0</v>
      </c>
      <c r="G135" s="349">
        <f>IFERROR($D$135*G185/100, 0)</f>
        <v>0</v>
      </c>
      <c r="H135" s="350">
        <f>IFERROR($D$135*H185/100, 0)</f>
        <v>0</v>
      </c>
      <c r="I135" s="351">
        <f>IFERROR($D$135*I185/100, 0)</f>
        <v>0</v>
      </c>
      <c r="J135" s="304">
        <f t="shared" si="72"/>
        <v>0</v>
      </c>
      <c r="K135" s="349">
        <f t="shared" ref="K135:P135" si="87">IFERROR($D$135*K185/100, 0)</f>
        <v>0</v>
      </c>
      <c r="L135" s="350">
        <f t="shared" si="87"/>
        <v>0</v>
      </c>
      <c r="M135" s="350">
        <f t="shared" si="87"/>
        <v>0</v>
      </c>
      <c r="N135" s="302">
        <f t="shared" si="87"/>
        <v>0</v>
      </c>
      <c r="O135" s="348">
        <f t="shared" si="87"/>
        <v>0</v>
      </c>
      <c r="P135" s="304">
        <f t="shared" si="87"/>
        <v>0</v>
      </c>
      <c r="Q135" s="327"/>
      <c r="R135" s="328"/>
    </row>
    <row r="136" spans="2:18" s="1" customFormat="1" x14ac:dyDescent="0.25">
      <c r="B136" s="166" t="s">
        <v>449</v>
      </c>
      <c r="C136" s="347" t="s">
        <v>450</v>
      </c>
      <c r="D136" s="1340">
        <v>1.2005699999999999</v>
      </c>
      <c r="E136" s="348">
        <f>IFERROR($D$136*E185/100, 0)</f>
        <v>0</v>
      </c>
      <c r="F136" s="304">
        <f t="shared" si="56"/>
        <v>0.56330744399999988</v>
      </c>
      <c r="G136" s="349">
        <f>IFERROR($D$136*G185/100, 0)</f>
        <v>8.9562521999999992E-2</v>
      </c>
      <c r="H136" s="350">
        <f>IFERROR($D$136*H185/100, 0)</f>
        <v>0.32355361499999996</v>
      </c>
      <c r="I136" s="351">
        <f>IFERROR($D$136*I185/100, 0)</f>
        <v>0.15019130699999997</v>
      </c>
      <c r="J136" s="304">
        <f t="shared" si="72"/>
        <v>0.63726255599999992</v>
      </c>
      <c r="K136" s="349">
        <f t="shared" ref="K136:P136" si="88">IFERROR($D$136*K185/100, 0)</f>
        <v>0.310467402</v>
      </c>
      <c r="L136" s="350">
        <f t="shared" si="88"/>
        <v>0.24635696399999996</v>
      </c>
      <c r="M136" s="350">
        <f t="shared" si="88"/>
        <v>8.0438189999999993E-2</v>
      </c>
      <c r="N136" s="302">
        <f t="shared" si="88"/>
        <v>0</v>
      </c>
      <c r="O136" s="348">
        <f t="shared" si="88"/>
        <v>0</v>
      </c>
      <c r="P136" s="304">
        <f t="shared" si="88"/>
        <v>0</v>
      </c>
      <c r="Q136" s="327"/>
      <c r="R136" s="328"/>
    </row>
    <row r="137" spans="2:18" s="1" customFormat="1" x14ac:dyDescent="0.25">
      <c r="B137" s="258" t="s">
        <v>451</v>
      </c>
      <c r="C137" s="259" t="s">
        <v>400</v>
      </c>
      <c r="D137" s="1338"/>
      <c r="E137" s="208">
        <f>IFERROR($D$137*E185/100, 0)</f>
        <v>0</v>
      </c>
      <c r="F137" s="205">
        <f t="shared" si="56"/>
        <v>0</v>
      </c>
      <c r="G137" s="209">
        <f>IFERROR($D$137*G185/100, 0)</f>
        <v>0</v>
      </c>
      <c r="H137" s="210">
        <f>IFERROR($D$137*H185/100, 0)</f>
        <v>0</v>
      </c>
      <c r="I137" s="211">
        <f>IFERROR($D$137*I185/100, 0)</f>
        <v>0</v>
      </c>
      <c r="J137" s="205">
        <f t="shared" si="72"/>
        <v>0</v>
      </c>
      <c r="K137" s="209">
        <f t="shared" ref="K137:P137" si="89">IFERROR($D$137*K185/100, 0)</f>
        <v>0</v>
      </c>
      <c r="L137" s="210">
        <f t="shared" si="89"/>
        <v>0</v>
      </c>
      <c r="M137" s="210">
        <f t="shared" si="89"/>
        <v>0</v>
      </c>
      <c r="N137" s="207">
        <f t="shared" si="89"/>
        <v>0</v>
      </c>
      <c r="O137" s="208">
        <f t="shared" si="89"/>
        <v>0</v>
      </c>
      <c r="P137" s="205">
        <f t="shared" si="89"/>
        <v>0</v>
      </c>
      <c r="Q137" s="327"/>
      <c r="R137" s="328"/>
    </row>
    <row r="138" spans="2:18" s="1" customFormat="1" x14ac:dyDescent="0.25">
      <c r="B138" s="261" t="s">
        <v>452</v>
      </c>
      <c r="C138" s="249" t="s">
        <v>453</v>
      </c>
      <c r="D138" s="1339">
        <v>3.74986</v>
      </c>
      <c r="E138" s="214">
        <f>IFERROR($D$138*E185/100, 0)</f>
        <v>0</v>
      </c>
      <c r="F138" s="215">
        <f t="shared" si="56"/>
        <v>1.7594343119999998</v>
      </c>
      <c r="G138" s="216">
        <f>IFERROR($D$138*G185/100, 0)</f>
        <v>0.279739556</v>
      </c>
      <c r="H138" s="217">
        <f>IFERROR($D$138*H185/100, 0)</f>
        <v>1.0105872699999998</v>
      </c>
      <c r="I138" s="218">
        <f>IFERROR($D$138*I185/100, 0)</f>
        <v>0.46910748599999996</v>
      </c>
      <c r="J138" s="215">
        <f t="shared" si="72"/>
        <v>1.9904256879999997</v>
      </c>
      <c r="K138" s="216">
        <f t="shared" ref="K138:P138" si="90">IFERROR($D$138*K185/100, 0)</f>
        <v>0.96971379599999996</v>
      </c>
      <c r="L138" s="217">
        <f t="shared" si="90"/>
        <v>0.76947127199999998</v>
      </c>
      <c r="M138" s="217">
        <f t="shared" si="90"/>
        <v>0.25124062000000003</v>
      </c>
      <c r="N138" s="213">
        <f t="shared" si="90"/>
        <v>0</v>
      </c>
      <c r="O138" s="214">
        <f t="shared" si="90"/>
        <v>0</v>
      </c>
      <c r="P138" s="215">
        <f t="shared" si="90"/>
        <v>0</v>
      </c>
      <c r="Q138" s="327"/>
      <c r="R138" s="328"/>
    </row>
    <row r="139" spans="2:18" s="1" customFormat="1" x14ac:dyDescent="0.25">
      <c r="B139" s="261" t="s">
        <v>454</v>
      </c>
      <c r="C139" s="352" t="s">
        <v>404</v>
      </c>
      <c r="D139" s="1339">
        <v>9.2459199999999999</v>
      </c>
      <c r="E139" s="214">
        <f>IFERROR($D$139*E185/100, 0)</f>
        <v>0</v>
      </c>
      <c r="F139" s="215">
        <f t="shared" si="56"/>
        <v>4.3381856639999992</v>
      </c>
      <c r="G139" s="216">
        <f>IFERROR($D$139*G185/100, 0)</f>
        <v>0.68974563200000005</v>
      </c>
      <c r="H139" s="217">
        <f>IFERROR($D$139*H185/100, 0)</f>
        <v>2.4917754399999996</v>
      </c>
      <c r="I139" s="218">
        <f>IFERROR($D$139*I185/100, 0)</f>
        <v>1.1566645919999998</v>
      </c>
      <c r="J139" s="215">
        <f t="shared" si="72"/>
        <v>4.9077343359999999</v>
      </c>
      <c r="K139" s="216">
        <f t="shared" ref="K139:P139" si="91">IFERROR($D$139*K185/100, 0)</f>
        <v>2.390994912</v>
      </c>
      <c r="L139" s="217">
        <f t="shared" si="91"/>
        <v>1.8972627839999998</v>
      </c>
      <c r="M139" s="217">
        <f t="shared" si="91"/>
        <v>0.61947664000000002</v>
      </c>
      <c r="N139" s="213">
        <f t="shared" si="91"/>
        <v>0</v>
      </c>
      <c r="O139" s="214">
        <f t="shared" si="91"/>
        <v>0</v>
      </c>
      <c r="P139" s="215">
        <f t="shared" si="91"/>
        <v>0</v>
      </c>
      <c r="Q139" s="327"/>
      <c r="R139" s="328"/>
    </row>
    <row r="140" spans="2:18" s="1" customFormat="1" ht="15.75" thickBot="1" x14ac:dyDescent="0.3">
      <c r="B140" s="261" t="s">
        <v>455</v>
      </c>
      <c r="C140" s="352" t="s">
        <v>408</v>
      </c>
      <c r="D140" s="1339"/>
      <c r="E140" s="214">
        <f>IFERROR($D$140*E185/100, 0)</f>
        <v>0</v>
      </c>
      <c r="F140" s="215">
        <f t="shared" si="56"/>
        <v>0</v>
      </c>
      <c r="G140" s="216">
        <f>IFERROR($D$140*G185/100, 0)</f>
        <v>0</v>
      </c>
      <c r="H140" s="217">
        <f>IFERROR($D$140*H185/100, 0)</f>
        <v>0</v>
      </c>
      <c r="I140" s="218">
        <f>IFERROR($D$140*I185/100, 0)</f>
        <v>0</v>
      </c>
      <c r="J140" s="215">
        <f t="shared" si="72"/>
        <v>0</v>
      </c>
      <c r="K140" s="216">
        <f t="shared" ref="K140:P140" si="92">IFERROR($D$140*K185/100, 0)</f>
        <v>0</v>
      </c>
      <c r="L140" s="217">
        <f t="shared" si="92"/>
        <v>0</v>
      </c>
      <c r="M140" s="217">
        <f t="shared" si="92"/>
        <v>0</v>
      </c>
      <c r="N140" s="213">
        <f t="shared" si="92"/>
        <v>0</v>
      </c>
      <c r="O140" s="214">
        <f t="shared" si="92"/>
        <v>0</v>
      </c>
      <c r="P140" s="215">
        <f t="shared" si="92"/>
        <v>0</v>
      </c>
      <c r="Q140" s="327"/>
      <c r="R140" s="328"/>
    </row>
    <row r="141" spans="2:18" s="1" customFormat="1" ht="119.25" customHeight="1" thickBot="1" x14ac:dyDescent="0.3">
      <c r="B141" s="123" t="s">
        <v>63</v>
      </c>
      <c r="C141" s="124" t="s">
        <v>456</v>
      </c>
      <c r="D141" s="124" t="s">
        <v>457</v>
      </c>
      <c r="E141" s="125" t="s">
        <v>256</v>
      </c>
      <c r="F141" s="126" t="s">
        <v>257</v>
      </c>
      <c r="G141" s="127" t="s">
        <v>258</v>
      </c>
      <c r="H141" s="128" t="s">
        <v>259</v>
      </c>
      <c r="I141" s="129" t="s">
        <v>260</v>
      </c>
      <c r="J141" s="130" t="s">
        <v>261</v>
      </c>
      <c r="K141" s="127" t="s">
        <v>262</v>
      </c>
      <c r="L141" s="128" t="s">
        <v>263</v>
      </c>
      <c r="M141" s="129" t="s">
        <v>264</v>
      </c>
      <c r="N141" s="132" t="s">
        <v>265</v>
      </c>
      <c r="O141" s="125" t="s">
        <v>458</v>
      </c>
      <c r="P141" s="126" t="s">
        <v>459</v>
      </c>
    </row>
    <row r="142" spans="2:18" s="1" customFormat="1" x14ac:dyDescent="0.25">
      <c r="B142" s="353" t="s">
        <v>65</v>
      </c>
      <c r="C142" s="354" t="s">
        <v>460</v>
      </c>
      <c r="D142" s="355"/>
      <c r="E142" s="356"/>
      <c r="F142" s="357"/>
      <c r="G142" s="356"/>
      <c r="H142" s="356"/>
      <c r="I142" s="356"/>
      <c r="J142" s="357"/>
      <c r="K142" s="356"/>
      <c r="L142" s="356"/>
      <c r="M142" s="356"/>
      <c r="N142" s="356"/>
      <c r="O142" s="356"/>
      <c r="P142" s="356"/>
    </row>
    <row r="143" spans="2:18" s="1" customFormat="1" ht="25.5" x14ac:dyDescent="0.25">
      <c r="B143" s="353">
        <v>1</v>
      </c>
      <c r="C143" s="354" t="s">
        <v>272</v>
      </c>
      <c r="D143" s="358">
        <f>E143+F143+J143+N143+O143+P143</f>
        <v>0</v>
      </c>
      <c r="E143" s="359"/>
      <c r="F143" s="360">
        <f>SUM(G143:I143)</f>
        <v>0</v>
      </c>
      <c r="G143" s="359"/>
      <c r="H143" s="359"/>
      <c r="I143" s="359"/>
      <c r="J143" s="360">
        <f>SUM(K143:M143)</f>
        <v>0</v>
      </c>
      <c r="K143" s="359"/>
      <c r="L143" s="359"/>
      <c r="M143" s="359"/>
      <c r="N143" s="359"/>
      <c r="O143" s="359"/>
      <c r="P143" s="359"/>
    </row>
    <row r="144" spans="2:18" s="1" customFormat="1" ht="15.75" thickBot="1" x14ac:dyDescent="0.3">
      <c r="B144" s="361">
        <v>2</v>
      </c>
      <c r="C144" s="167" t="s">
        <v>306</v>
      </c>
      <c r="D144" s="362">
        <f>E144+F144+J144+N144+O144+P144</f>
        <v>0</v>
      </c>
      <c r="E144" s="363"/>
      <c r="F144" s="364">
        <f>SUM(G144:I144)</f>
        <v>0</v>
      </c>
      <c r="G144" s="363"/>
      <c r="H144" s="363"/>
      <c r="I144" s="363"/>
      <c r="J144" s="364">
        <f>SUM(K144:M144)</f>
        <v>0</v>
      </c>
      <c r="K144" s="363"/>
      <c r="L144" s="363"/>
      <c r="M144" s="363"/>
      <c r="N144" s="363"/>
      <c r="O144" s="363"/>
      <c r="P144" s="363"/>
    </row>
    <row r="145" spans="2:16" s="1" customFormat="1" x14ac:dyDescent="0.25">
      <c r="B145" s="365" t="s">
        <v>69</v>
      </c>
      <c r="C145" s="366" t="s">
        <v>461</v>
      </c>
      <c r="D145" s="355"/>
      <c r="E145" s="367"/>
      <c r="F145" s="368"/>
      <c r="G145" s="367"/>
      <c r="H145" s="367"/>
      <c r="I145" s="367"/>
      <c r="J145" s="368"/>
      <c r="K145" s="367"/>
      <c r="L145" s="367"/>
      <c r="M145" s="367"/>
      <c r="N145" s="367"/>
      <c r="O145" s="367"/>
      <c r="P145" s="367"/>
    </row>
    <row r="146" spans="2:16" s="1" customFormat="1" ht="28.5" customHeight="1" x14ac:dyDescent="0.25">
      <c r="B146" s="369">
        <v>1</v>
      </c>
      <c r="C146" s="370" t="s">
        <v>315</v>
      </c>
      <c r="D146" s="358">
        <f>E146+F146+J146+N146+O146+P146</f>
        <v>100</v>
      </c>
      <c r="E146" s="359"/>
      <c r="F146" s="360">
        <f>SUM(G146:I146)</f>
        <v>46.919999999999995</v>
      </c>
      <c r="G146" s="359">
        <v>7.46</v>
      </c>
      <c r="H146" s="359">
        <v>26.95</v>
      </c>
      <c r="I146" s="359">
        <v>12.51</v>
      </c>
      <c r="J146" s="360">
        <f>SUM(K146:M146)</f>
        <v>53.08</v>
      </c>
      <c r="K146" s="359">
        <v>25.86</v>
      </c>
      <c r="L146" s="359">
        <v>20.52</v>
      </c>
      <c r="M146" s="359">
        <v>6.7</v>
      </c>
      <c r="N146" s="359"/>
      <c r="O146" s="359"/>
      <c r="P146" s="359"/>
    </row>
    <row r="147" spans="2:16" s="1" customFormat="1" ht="15.75" thickBot="1" x14ac:dyDescent="0.3">
      <c r="B147" s="371">
        <v>2</v>
      </c>
      <c r="C147" s="372" t="s">
        <v>317</v>
      </c>
      <c r="D147" s="362">
        <f>E147+F147+J147+N147+O147+P147</f>
        <v>100</v>
      </c>
      <c r="E147" s="363"/>
      <c r="F147" s="364">
        <f>SUM(G147:I147)</f>
        <v>46.919999999999995</v>
      </c>
      <c r="G147" s="363">
        <v>7.46</v>
      </c>
      <c r="H147" s="363">
        <v>26.95</v>
      </c>
      <c r="I147" s="363">
        <v>12.51</v>
      </c>
      <c r="J147" s="364">
        <f>SUM(K147:M147)</f>
        <v>53.08</v>
      </c>
      <c r="K147" s="363">
        <v>25.86</v>
      </c>
      <c r="L147" s="363">
        <v>20.52</v>
      </c>
      <c r="M147" s="363">
        <v>6.7</v>
      </c>
      <c r="N147" s="363"/>
      <c r="O147" s="363"/>
      <c r="P147" s="363"/>
    </row>
    <row r="148" spans="2:16" s="1" customFormat="1" x14ac:dyDescent="0.25">
      <c r="B148" s="365" t="s">
        <v>71</v>
      </c>
      <c r="C148" s="366" t="s">
        <v>462</v>
      </c>
      <c r="D148" s="355"/>
      <c r="E148" s="367"/>
      <c r="F148" s="368"/>
      <c r="G148" s="367"/>
      <c r="H148" s="367"/>
      <c r="I148" s="367"/>
      <c r="J148" s="368"/>
      <c r="K148" s="367"/>
      <c r="L148" s="367"/>
      <c r="M148" s="367"/>
      <c r="N148" s="367"/>
      <c r="O148" s="367"/>
      <c r="P148" s="367"/>
    </row>
    <row r="149" spans="2:16" s="1" customFormat="1" ht="15.75" thickBot="1" x14ac:dyDescent="0.3">
      <c r="B149" s="371">
        <v>1</v>
      </c>
      <c r="C149" s="372" t="s">
        <v>321</v>
      </c>
      <c r="D149" s="362">
        <f>E149+F149+J149+N149+O149+P149</f>
        <v>0</v>
      </c>
      <c r="E149" s="363"/>
      <c r="F149" s="364">
        <f>SUM(G149:I149)</f>
        <v>0</v>
      </c>
      <c r="G149" s="363"/>
      <c r="H149" s="363"/>
      <c r="I149" s="363"/>
      <c r="J149" s="364">
        <f>SUM(K149:M149)</f>
        <v>0</v>
      </c>
      <c r="K149" s="363"/>
      <c r="L149" s="363"/>
      <c r="M149" s="363"/>
      <c r="N149" s="363"/>
      <c r="O149" s="363"/>
      <c r="P149" s="363"/>
    </row>
    <row r="150" spans="2:16" s="1" customFormat="1" x14ac:dyDescent="0.25">
      <c r="B150" s="365" t="s">
        <v>73</v>
      </c>
      <c r="C150" s="366" t="s">
        <v>463</v>
      </c>
      <c r="D150" s="355"/>
      <c r="E150" s="367"/>
      <c r="F150" s="368"/>
      <c r="G150" s="367"/>
      <c r="H150" s="367"/>
      <c r="I150" s="367"/>
      <c r="J150" s="368"/>
      <c r="K150" s="367"/>
      <c r="L150" s="367"/>
      <c r="M150" s="367"/>
      <c r="N150" s="367"/>
      <c r="O150" s="367"/>
      <c r="P150" s="367"/>
    </row>
    <row r="151" spans="2:16" s="1" customFormat="1" x14ac:dyDescent="0.25">
      <c r="B151" s="369">
        <v>1</v>
      </c>
      <c r="C151" s="370" t="s">
        <v>277</v>
      </c>
      <c r="D151" s="358">
        <f t="shared" ref="D151:D156" si="93">E151+F151+J151+N151+O151+P151</f>
        <v>100</v>
      </c>
      <c r="E151" s="359"/>
      <c r="F151" s="360">
        <f t="shared" ref="F151:F156" si="94">SUM(G151:I151)</f>
        <v>10.819999999999999</v>
      </c>
      <c r="G151" s="359">
        <v>4.43</v>
      </c>
      <c r="H151" s="359">
        <v>5.38</v>
      </c>
      <c r="I151" s="359">
        <v>1.01</v>
      </c>
      <c r="J151" s="360">
        <f t="shared" ref="J151:J156" si="95">SUM(K151:M151)</f>
        <v>89.18</v>
      </c>
      <c r="K151" s="1341">
        <v>75.67</v>
      </c>
      <c r="L151" s="1341">
        <v>8.64</v>
      </c>
      <c r="M151" s="1341">
        <v>4.87</v>
      </c>
      <c r="N151" s="359"/>
      <c r="O151" s="359"/>
      <c r="P151" s="359"/>
    </row>
    <row r="152" spans="2:16" s="1" customFormat="1" x14ac:dyDescent="0.25">
      <c r="B152" s="369">
        <v>2</v>
      </c>
      <c r="C152" s="370" t="s">
        <v>281</v>
      </c>
      <c r="D152" s="358">
        <f t="shared" si="93"/>
        <v>100</v>
      </c>
      <c r="E152" s="359"/>
      <c r="F152" s="360">
        <f t="shared" si="94"/>
        <v>10.819999999999999</v>
      </c>
      <c r="G152" s="359">
        <v>4.43</v>
      </c>
      <c r="H152" s="359">
        <v>5.38</v>
      </c>
      <c r="I152" s="359">
        <v>1.01</v>
      </c>
      <c r="J152" s="360">
        <f t="shared" si="95"/>
        <v>89.18</v>
      </c>
      <c r="K152" s="1341">
        <v>75.67</v>
      </c>
      <c r="L152" s="1341">
        <v>8.64</v>
      </c>
      <c r="M152" s="1341">
        <v>4.87</v>
      </c>
      <c r="N152" s="359"/>
      <c r="O152" s="359"/>
      <c r="P152" s="359"/>
    </row>
    <row r="153" spans="2:16" s="1" customFormat="1" x14ac:dyDescent="0.25">
      <c r="B153" s="369">
        <v>3</v>
      </c>
      <c r="C153" s="370" t="s">
        <v>464</v>
      </c>
      <c r="D153" s="358">
        <f t="shared" si="93"/>
        <v>100</v>
      </c>
      <c r="E153" s="359"/>
      <c r="F153" s="360">
        <f t="shared" si="94"/>
        <v>10.819999999999999</v>
      </c>
      <c r="G153" s="359">
        <v>4.43</v>
      </c>
      <c r="H153" s="359">
        <v>5.38</v>
      </c>
      <c r="I153" s="359">
        <v>1.01</v>
      </c>
      <c r="J153" s="360">
        <f t="shared" si="95"/>
        <v>89.18</v>
      </c>
      <c r="K153" s="1341">
        <v>75.67</v>
      </c>
      <c r="L153" s="1341">
        <v>8.64</v>
      </c>
      <c r="M153" s="1341">
        <v>4.87</v>
      </c>
      <c r="N153" s="359"/>
      <c r="O153" s="359"/>
      <c r="P153" s="359"/>
    </row>
    <row r="154" spans="2:16" s="1" customFormat="1" x14ac:dyDescent="0.25">
      <c r="B154" s="369">
        <v>4</v>
      </c>
      <c r="C154" s="370" t="s">
        <v>465</v>
      </c>
      <c r="D154" s="358">
        <f t="shared" si="93"/>
        <v>100</v>
      </c>
      <c r="E154" s="359"/>
      <c r="F154" s="360">
        <f t="shared" si="94"/>
        <v>10.819999999999999</v>
      </c>
      <c r="G154" s="359">
        <v>4.43</v>
      </c>
      <c r="H154" s="359">
        <v>5.38</v>
      </c>
      <c r="I154" s="359">
        <v>1.01</v>
      </c>
      <c r="J154" s="360">
        <f t="shared" si="95"/>
        <v>89.18</v>
      </c>
      <c r="K154" s="1341">
        <v>75.67</v>
      </c>
      <c r="L154" s="1341">
        <v>8.64</v>
      </c>
      <c r="M154" s="1341">
        <v>4.87</v>
      </c>
      <c r="N154" s="359"/>
      <c r="O154" s="359"/>
      <c r="P154" s="359"/>
    </row>
    <row r="155" spans="2:16" s="1" customFormat="1" ht="30" customHeight="1" thickBot="1" x14ac:dyDescent="0.3">
      <c r="B155" s="371">
        <v>5</v>
      </c>
      <c r="C155" s="372" t="s">
        <v>330</v>
      </c>
      <c r="D155" s="362">
        <f t="shared" si="93"/>
        <v>100</v>
      </c>
      <c r="E155" s="363"/>
      <c r="F155" s="364">
        <f t="shared" si="94"/>
        <v>10.819999999999999</v>
      </c>
      <c r="G155" s="363">
        <v>4.43</v>
      </c>
      <c r="H155" s="363">
        <v>5.38</v>
      </c>
      <c r="I155" s="363">
        <v>1.01</v>
      </c>
      <c r="J155" s="364">
        <f t="shared" si="95"/>
        <v>89.18</v>
      </c>
      <c r="K155" s="1342">
        <v>75.67</v>
      </c>
      <c r="L155" s="1342">
        <v>8.64</v>
      </c>
      <c r="M155" s="1342">
        <v>4.87</v>
      </c>
      <c r="N155" s="363"/>
      <c r="O155" s="363"/>
      <c r="P155" s="363"/>
    </row>
    <row r="156" spans="2:16" s="1" customFormat="1" ht="15.75" thickBot="1" x14ac:dyDescent="0.3">
      <c r="B156" s="373" t="s">
        <v>75</v>
      </c>
      <c r="C156" s="374" t="s">
        <v>332</v>
      </c>
      <c r="D156" s="375">
        <f t="shared" si="93"/>
        <v>100</v>
      </c>
      <c r="E156" s="376"/>
      <c r="F156" s="377">
        <f t="shared" si="94"/>
        <v>49.769999999999996</v>
      </c>
      <c r="G156" s="376">
        <v>3.6</v>
      </c>
      <c r="H156" s="376">
        <v>19.36</v>
      </c>
      <c r="I156" s="376">
        <v>26.81</v>
      </c>
      <c r="J156" s="377">
        <f t="shared" si="95"/>
        <v>50.23</v>
      </c>
      <c r="K156" s="1343">
        <v>46.4</v>
      </c>
      <c r="L156" s="1343">
        <v>3.08</v>
      </c>
      <c r="M156" s="1343">
        <v>0.75</v>
      </c>
      <c r="N156" s="376"/>
      <c r="O156" s="376"/>
      <c r="P156" s="376"/>
    </row>
    <row r="157" spans="2:16" s="1" customFormat="1" x14ac:dyDescent="0.25">
      <c r="B157" s="365" t="s">
        <v>466</v>
      </c>
      <c r="C157" s="366" t="s">
        <v>467</v>
      </c>
      <c r="D157" s="355"/>
      <c r="E157" s="367"/>
      <c r="F157" s="368"/>
      <c r="G157" s="367"/>
      <c r="H157" s="367"/>
      <c r="I157" s="367"/>
      <c r="J157" s="368"/>
      <c r="K157" s="367"/>
      <c r="L157" s="367"/>
      <c r="M157" s="367"/>
      <c r="N157" s="367"/>
      <c r="O157" s="367"/>
      <c r="P157" s="367"/>
    </row>
    <row r="158" spans="2:16" s="1" customFormat="1" x14ac:dyDescent="0.25">
      <c r="B158" s="369">
        <v>1</v>
      </c>
      <c r="C158" s="370" t="s">
        <v>285</v>
      </c>
      <c r="D158" s="358">
        <f>E158+F158+J158+N158+O158+P158</f>
        <v>100</v>
      </c>
      <c r="E158" s="359"/>
      <c r="F158" s="360">
        <f>SUM(G158:I158)</f>
        <v>46.919999999999995</v>
      </c>
      <c r="G158" s="359">
        <v>7.46</v>
      </c>
      <c r="H158" s="359">
        <v>26.95</v>
      </c>
      <c r="I158" s="359">
        <v>12.51</v>
      </c>
      <c r="J158" s="360">
        <f>SUM(K158:M158)</f>
        <v>53.08</v>
      </c>
      <c r="K158" s="359">
        <v>25.86</v>
      </c>
      <c r="L158" s="359">
        <v>20.52</v>
      </c>
      <c r="M158" s="359">
        <v>6.7</v>
      </c>
      <c r="N158" s="359"/>
      <c r="O158" s="359"/>
      <c r="P158" s="359"/>
    </row>
    <row r="159" spans="2:16" s="1" customFormat="1" x14ac:dyDescent="0.25">
      <c r="B159" s="369">
        <v>2</v>
      </c>
      <c r="C159" s="378" t="s">
        <v>338</v>
      </c>
      <c r="D159" s="358">
        <f>E159+F159+J159+N159+O159+P159</f>
        <v>100</v>
      </c>
      <c r="E159" s="359"/>
      <c r="F159" s="360">
        <f>SUM(G159:I159)</f>
        <v>46.919999999999995</v>
      </c>
      <c r="G159" s="359">
        <v>7.46</v>
      </c>
      <c r="H159" s="359">
        <v>26.95</v>
      </c>
      <c r="I159" s="359">
        <v>12.51</v>
      </c>
      <c r="J159" s="360">
        <f>SUM(K159:M159)</f>
        <v>53.08</v>
      </c>
      <c r="K159" s="359">
        <v>25.86</v>
      </c>
      <c r="L159" s="359">
        <v>20.52</v>
      </c>
      <c r="M159" s="359">
        <v>6.7</v>
      </c>
      <c r="N159" s="359"/>
      <c r="O159" s="359"/>
      <c r="P159" s="359"/>
    </row>
    <row r="160" spans="2:16" s="1" customFormat="1" x14ac:dyDescent="0.25">
      <c r="B160" s="369">
        <v>3</v>
      </c>
      <c r="C160" s="370" t="s">
        <v>468</v>
      </c>
      <c r="D160" s="358">
        <f>E160+F160+J160+N160+O160+P160</f>
        <v>100</v>
      </c>
      <c r="E160" s="359">
        <v>5.24</v>
      </c>
      <c r="F160" s="360">
        <f>SUM(G160:I160)</f>
        <v>44.470000000000006</v>
      </c>
      <c r="G160" s="359">
        <v>7.07</v>
      </c>
      <c r="H160" s="359">
        <v>25.55</v>
      </c>
      <c r="I160" s="359">
        <v>11.85</v>
      </c>
      <c r="J160" s="360">
        <f>SUM(K160:M160)</f>
        <v>50.29</v>
      </c>
      <c r="K160" s="359">
        <v>24.5</v>
      </c>
      <c r="L160" s="359">
        <v>19.440000000000001</v>
      </c>
      <c r="M160" s="359">
        <v>6.35</v>
      </c>
      <c r="N160" s="359"/>
      <c r="O160" s="359"/>
      <c r="P160" s="359"/>
    </row>
    <row r="161" spans="2:16" s="1" customFormat="1" ht="15.75" thickBot="1" x14ac:dyDescent="0.3">
      <c r="B161" s="371">
        <v>4</v>
      </c>
      <c r="C161" s="372" t="s">
        <v>469</v>
      </c>
      <c r="D161" s="362">
        <f>E161+F161+J161+N161+O161+P161</f>
        <v>100</v>
      </c>
      <c r="E161" s="363">
        <v>5.24</v>
      </c>
      <c r="F161" s="364">
        <f>SUM(G161:I161)</f>
        <v>44.470000000000006</v>
      </c>
      <c r="G161" s="363">
        <v>7.07</v>
      </c>
      <c r="H161" s="363">
        <v>25.55</v>
      </c>
      <c r="I161" s="363">
        <v>11.85</v>
      </c>
      <c r="J161" s="364">
        <f>SUM(K161:M161)</f>
        <v>50.29</v>
      </c>
      <c r="K161" s="363">
        <v>24.5</v>
      </c>
      <c r="L161" s="363">
        <v>19.440000000000001</v>
      </c>
      <c r="M161" s="363">
        <v>6.35</v>
      </c>
      <c r="N161" s="363"/>
      <c r="O161" s="363"/>
      <c r="P161" s="363"/>
    </row>
    <row r="162" spans="2:16" s="1" customFormat="1" x14ac:dyDescent="0.25">
      <c r="B162" s="365" t="s">
        <v>470</v>
      </c>
      <c r="C162" s="366" t="s">
        <v>471</v>
      </c>
      <c r="D162" s="355"/>
      <c r="E162" s="367"/>
      <c r="F162" s="368"/>
      <c r="G162" s="367"/>
      <c r="H162" s="367"/>
      <c r="I162" s="367"/>
      <c r="J162" s="368"/>
      <c r="K162" s="367"/>
      <c r="L162" s="367"/>
      <c r="M162" s="367"/>
      <c r="N162" s="367"/>
      <c r="O162" s="367"/>
      <c r="P162" s="367"/>
    </row>
    <row r="163" spans="2:16" s="1" customFormat="1" x14ac:dyDescent="0.25">
      <c r="B163" s="369">
        <v>1</v>
      </c>
      <c r="C163" s="370" t="s">
        <v>472</v>
      </c>
      <c r="D163" s="358">
        <f>E163+F163+J163+N163+O163+P163</f>
        <v>0</v>
      </c>
      <c r="E163" s="359"/>
      <c r="F163" s="360">
        <f>SUM(G163:I163)</f>
        <v>0</v>
      </c>
      <c r="G163" s="359"/>
      <c r="H163" s="359"/>
      <c r="I163" s="359"/>
      <c r="J163" s="360">
        <f>SUM(K163:M163)</f>
        <v>0</v>
      </c>
      <c r="K163" s="359"/>
      <c r="L163" s="359"/>
      <c r="M163" s="359"/>
      <c r="N163" s="359"/>
      <c r="O163" s="359"/>
      <c r="P163" s="359"/>
    </row>
    <row r="164" spans="2:16" s="1" customFormat="1" x14ac:dyDescent="0.25">
      <c r="B164" s="371">
        <v>2</v>
      </c>
      <c r="C164" s="372" t="s">
        <v>473</v>
      </c>
      <c r="D164" s="358">
        <f>E164+F164+J164+N164+O164+P164</f>
        <v>0</v>
      </c>
      <c r="E164" s="379"/>
      <c r="F164" s="360">
        <f>SUM(G164:I164)</f>
        <v>0</v>
      </c>
      <c r="G164" s="379"/>
      <c r="H164" s="379"/>
      <c r="I164" s="379"/>
      <c r="J164" s="360">
        <f>SUM(K164:M164)</f>
        <v>0</v>
      </c>
      <c r="K164" s="379"/>
      <c r="L164" s="379"/>
      <c r="M164" s="379"/>
      <c r="N164" s="379"/>
      <c r="O164" s="379"/>
      <c r="P164" s="379"/>
    </row>
    <row r="165" spans="2:16" s="1" customFormat="1" ht="15.75" thickBot="1" x14ac:dyDescent="0.3">
      <c r="B165" s="371">
        <v>3</v>
      </c>
      <c r="C165" s="372" t="s">
        <v>354</v>
      </c>
      <c r="D165" s="362">
        <f>E165+F165+J165+N165+O165+P165</f>
        <v>100</v>
      </c>
      <c r="E165" s="363"/>
      <c r="F165" s="364">
        <f>SUM(G165:I165)</f>
        <v>46.919999999999995</v>
      </c>
      <c r="G165" s="363">
        <v>7.46</v>
      </c>
      <c r="H165" s="363">
        <v>26.95</v>
      </c>
      <c r="I165" s="363">
        <v>12.51</v>
      </c>
      <c r="J165" s="364">
        <f>SUM(K165:M165)</f>
        <v>53.08</v>
      </c>
      <c r="K165" s="363">
        <v>25.86</v>
      </c>
      <c r="L165" s="363">
        <v>20.52</v>
      </c>
      <c r="M165" s="363">
        <v>6.7</v>
      </c>
      <c r="N165" s="363"/>
      <c r="O165" s="363"/>
      <c r="P165" s="363"/>
    </row>
    <row r="166" spans="2:16" s="1" customFormat="1" x14ac:dyDescent="0.25">
      <c r="B166" s="365" t="s">
        <v>474</v>
      </c>
      <c r="C166" s="366" t="s">
        <v>475</v>
      </c>
      <c r="D166" s="355"/>
      <c r="E166" s="367"/>
      <c r="F166" s="368"/>
      <c r="G166" s="367"/>
      <c r="H166" s="367"/>
      <c r="I166" s="367"/>
      <c r="J166" s="368"/>
      <c r="K166" s="367"/>
      <c r="L166" s="367"/>
      <c r="M166" s="367"/>
      <c r="N166" s="367"/>
      <c r="O166" s="367"/>
      <c r="P166" s="367"/>
    </row>
    <row r="167" spans="2:16" s="1" customFormat="1" x14ac:dyDescent="0.25">
      <c r="B167" s="369">
        <v>1</v>
      </c>
      <c r="C167" s="370" t="s">
        <v>476</v>
      </c>
      <c r="D167" s="358">
        <f>E167+F167+J167+N167+O167+P167</f>
        <v>0</v>
      </c>
      <c r="E167" s="359"/>
      <c r="F167" s="360">
        <f>SUM(G167:I167)</f>
        <v>0</v>
      </c>
      <c r="G167" s="359"/>
      <c r="H167" s="359"/>
      <c r="I167" s="359"/>
      <c r="J167" s="360">
        <f>SUM(K167:M167)</f>
        <v>0</v>
      </c>
      <c r="K167" s="359"/>
      <c r="L167" s="359"/>
      <c r="M167" s="359"/>
      <c r="N167" s="359"/>
      <c r="O167" s="359"/>
      <c r="P167" s="359"/>
    </row>
    <row r="168" spans="2:16" s="1" customFormat="1" ht="15.75" thickBot="1" x14ac:dyDescent="0.3">
      <c r="B168" s="371">
        <v>2</v>
      </c>
      <c r="C168" s="372" t="s">
        <v>477</v>
      </c>
      <c r="D168" s="362">
        <f>E168+F168+J168+N168+O168+P168</f>
        <v>0</v>
      </c>
      <c r="E168" s="363"/>
      <c r="F168" s="364">
        <f>SUM(G168:I168)</f>
        <v>0</v>
      </c>
      <c r="G168" s="363"/>
      <c r="H168" s="363"/>
      <c r="I168" s="363"/>
      <c r="J168" s="364">
        <f>SUM(K168:M168)</f>
        <v>0</v>
      </c>
      <c r="K168" s="363"/>
      <c r="L168" s="363"/>
      <c r="M168" s="363"/>
      <c r="N168" s="363"/>
      <c r="O168" s="363"/>
      <c r="P168" s="363"/>
    </row>
    <row r="169" spans="2:16" s="1" customFormat="1" x14ac:dyDescent="0.25">
      <c r="B169" s="365" t="s">
        <v>478</v>
      </c>
      <c r="C169" s="366" t="s">
        <v>479</v>
      </c>
      <c r="D169" s="355"/>
      <c r="E169" s="367"/>
      <c r="F169" s="368"/>
      <c r="G169" s="367"/>
      <c r="H169" s="367"/>
      <c r="I169" s="367"/>
      <c r="J169" s="368"/>
      <c r="K169" s="367"/>
      <c r="L169" s="367"/>
      <c r="M169" s="367"/>
      <c r="N169" s="367"/>
      <c r="O169" s="367"/>
      <c r="P169" s="367"/>
    </row>
    <row r="170" spans="2:16" s="1" customFormat="1" x14ac:dyDescent="0.25">
      <c r="B170" s="369">
        <v>1</v>
      </c>
      <c r="C170" s="370" t="s">
        <v>480</v>
      </c>
      <c r="D170" s="358">
        <f t="shared" ref="D170:D185" si="96">E170+F170+J170+N170+O170+P170</f>
        <v>0</v>
      </c>
      <c r="E170" s="359"/>
      <c r="F170" s="360">
        <f t="shared" ref="F170:F185" si="97">SUM(G170:I170)</f>
        <v>0</v>
      </c>
      <c r="G170" s="359"/>
      <c r="H170" s="359"/>
      <c r="I170" s="359"/>
      <c r="J170" s="360">
        <f t="shared" ref="J170:J185" si="98">SUM(K170:M170)</f>
        <v>0</v>
      </c>
      <c r="K170" s="359"/>
      <c r="L170" s="359"/>
      <c r="M170" s="359"/>
      <c r="N170" s="359"/>
      <c r="O170" s="359"/>
      <c r="P170" s="359"/>
    </row>
    <row r="171" spans="2:16" s="1" customFormat="1" x14ac:dyDescent="0.25">
      <c r="B171" s="369">
        <v>2</v>
      </c>
      <c r="C171" s="370" t="s">
        <v>481</v>
      </c>
      <c r="D171" s="358">
        <f t="shared" si="96"/>
        <v>0</v>
      </c>
      <c r="E171" s="359"/>
      <c r="F171" s="360">
        <f t="shared" si="97"/>
        <v>0</v>
      </c>
      <c r="G171" s="359"/>
      <c r="H171" s="359"/>
      <c r="I171" s="359"/>
      <c r="J171" s="360">
        <f t="shared" si="98"/>
        <v>0</v>
      </c>
      <c r="K171" s="359"/>
      <c r="L171" s="359"/>
      <c r="M171" s="359"/>
      <c r="N171" s="359"/>
      <c r="O171" s="359"/>
      <c r="P171" s="359"/>
    </row>
    <row r="172" spans="2:16" s="1" customFormat="1" x14ac:dyDescent="0.25">
      <c r="B172" s="369">
        <v>3</v>
      </c>
      <c r="C172" s="370" t="s">
        <v>482</v>
      </c>
      <c r="D172" s="358">
        <f t="shared" si="96"/>
        <v>0</v>
      </c>
      <c r="E172" s="359"/>
      <c r="F172" s="360">
        <f t="shared" si="97"/>
        <v>0</v>
      </c>
      <c r="G172" s="359"/>
      <c r="H172" s="359"/>
      <c r="I172" s="359"/>
      <c r="J172" s="360">
        <f t="shared" si="98"/>
        <v>0</v>
      </c>
      <c r="K172" s="359"/>
      <c r="L172" s="359"/>
      <c r="M172" s="359"/>
      <c r="N172" s="359"/>
      <c r="O172" s="359"/>
      <c r="P172" s="359"/>
    </row>
    <row r="173" spans="2:16" s="1" customFormat="1" x14ac:dyDescent="0.25">
      <c r="B173" s="369">
        <v>4</v>
      </c>
      <c r="C173" s="370" t="s">
        <v>483</v>
      </c>
      <c r="D173" s="358">
        <f t="shared" si="96"/>
        <v>100</v>
      </c>
      <c r="E173" s="359"/>
      <c r="F173" s="360">
        <f t="shared" si="97"/>
        <v>46.919999999999995</v>
      </c>
      <c r="G173" s="359">
        <v>7.46</v>
      </c>
      <c r="H173" s="359">
        <v>26.95</v>
      </c>
      <c r="I173" s="359">
        <v>12.51</v>
      </c>
      <c r="J173" s="360">
        <f t="shared" si="98"/>
        <v>53.08</v>
      </c>
      <c r="K173" s="359">
        <v>25.86</v>
      </c>
      <c r="L173" s="359">
        <v>20.52</v>
      </c>
      <c r="M173" s="359">
        <v>6.7</v>
      </c>
      <c r="N173" s="359"/>
      <c r="O173" s="359"/>
      <c r="P173" s="359"/>
    </row>
    <row r="174" spans="2:16" s="1" customFormat="1" x14ac:dyDescent="0.25">
      <c r="B174" s="369">
        <v>5</v>
      </c>
      <c r="C174" s="370" t="s">
        <v>484</v>
      </c>
      <c r="D174" s="358">
        <f t="shared" si="96"/>
        <v>0</v>
      </c>
      <c r="E174" s="359"/>
      <c r="F174" s="360">
        <f t="shared" si="97"/>
        <v>0</v>
      </c>
      <c r="G174" s="359"/>
      <c r="H174" s="359"/>
      <c r="I174" s="359"/>
      <c r="J174" s="360">
        <f t="shared" si="98"/>
        <v>0</v>
      </c>
      <c r="K174" s="359"/>
      <c r="L174" s="359"/>
      <c r="M174" s="359"/>
      <c r="N174" s="359"/>
      <c r="O174" s="359"/>
      <c r="P174" s="359"/>
    </row>
    <row r="175" spans="2:16" s="1" customFormat="1" x14ac:dyDescent="0.25">
      <c r="B175" s="369">
        <v>6</v>
      </c>
      <c r="C175" s="370" t="s">
        <v>485</v>
      </c>
      <c r="D175" s="358">
        <f t="shared" si="96"/>
        <v>100</v>
      </c>
      <c r="E175" s="359"/>
      <c r="F175" s="360">
        <f t="shared" si="97"/>
        <v>46.919999999999995</v>
      </c>
      <c r="G175" s="359">
        <v>7.46</v>
      </c>
      <c r="H175" s="359">
        <v>26.95</v>
      </c>
      <c r="I175" s="359">
        <v>12.51</v>
      </c>
      <c r="J175" s="360">
        <f t="shared" si="98"/>
        <v>53.08</v>
      </c>
      <c r="K175" s="359">
        <v>25.86</v>
      </c>
      <c r="L175" s="359">
        <v>20.52</v>
      </c>
      <c r="M175" s="359">
        <v>6.7</v>
      </c>
      <c r="N175" s="359"/>
      <c r="O175" s="359"/>
      <c r="P175" s="359"/>
    </row>
    <row r="176" spans="2:16" s="1" customFormat="1" x14ac:dyDescent="0.25">
      <c r="B176" s="369">
        <v>7</v>
      </c>
      <c r="C176" s="370" t="s">
        <v>486</v>
      </c>
      <c r="D176" s="358">
        <f t="shared" si="96"/>
        <v>0</v>
      </c>
      <c r="E176" s="359"/>
      <c r="F176" s="360">
        <f t="shared" si="97"/>
        <v>0</v>
      </c>
      <c r="G176" s="359"/>
      <c r="H176" s="359"/>
      <c r="I176" s="359"/>
      <c r="J176" s="360">
        <f t="shared" si="98"/>
        <v>0</v>
      </c>
      <c r="K176" s="359"/>
      <c r="L176" s="359"/>
      <c r="M176" s="359"/>
      <c r="N176" s="359"/>
      <c r="O176" s="359"/>
      <c r="P176" s="359"/>
    </row>
    <row r="177" spans="1:19" s="1" customFormat="1" x14ac:dyDescent="0.25">
      <c r="B177" s="369">
        <v>8</v>
      </c>
      <c r="C177" s="370" t="s">
        <v>487</v>
      </c>
      <c r="D177" s="358">
        <f t="shared" si="96"/>
        <v>0</v>
      </c>
      <c r="E177" s="359"/>
      <c r="F177" s="360">
        <f t="shared" si="97"/>
        <v>0</v>
      </c>
      <c r="G177" s="359"/>
      <c r="H177" s="359"/>
      <c r="I177" s="359"/>
      <c r="J177" s="360">
        <f t="shared" si="98"/>
        <v>0</v>
      </c>
      <c r="K177" s="359"/>
      <c r="L177" s="359"/>
      <c r="M177" s="359"/>
      <c r="N177" s="359"/>
      <c r="O177" s="359"/>
      <c r="P177" s="359"/>
    </row>
    <row r="178" spans="1:19" s="1" customFormat="1" x14ac:dyDescent="0.25">
      <c r="B178" s="369">
        <v>9</v>
      </c>
      <c r="C178" s="370" t="s">
        <v>488</v>
      </c>
      <c r="D178" s="358">
        <f t="shared" si="96"/>
        <v>0</v>
      </c>
      <c r="E178" s="359"/>
      <c r="F178" s="360">
        <f t="shared" si="97"/>
        <v>0</v>
      </c>
      <c r="G178" s="359"/>
      <c r="H178" s="359"/>
      <c r="I178" s="359"/>
      <c r="J178" s="360">
        <f t="shared" si="98"/>
        <v>0</v>
      </c>
      <c r="K178" s="359"/>
      <c r="L178" s="359"/>
      <c r="M178" s="359"/>
      <c r="N178" s="359"/>
      <c r="O178" s="359"/>
      <c r="P178" s="359"/>
    </row>
    <row r="179" spans="1:19" s="1" customFormat="1" x14ac:dyDescent="0.25">
      <c r="B179" s="369">
        <v>10</v>
      </c>
      <c r="C179" s="370" t="s">
        <v>489</v>
      </c>
      <c r="D179" s="358">
        <f t="shared" si="96"/>
        <v>0</v>
      </c>
      <c r="E179" s="359"/>
      <c r="F179" s="360">
        <f t="shared" si="97"/>
        <v>0</v>
      </c>
      <c r="G179" s="359"/>
      <c r="H179" s="359"/>
      <c r="I179" s="359"/>
      <c r="J179" s="360">
        <f t="shared" si="98"/>
        <v>0</v>
      </c>
      <c r="K179" s="359"/>
      <c r="L179" s="359"/>
      <c r="M179" s="359"/>
      <c r="N179" s="359"/>
      <c r="O179" s="359"/>
      <c r="P179" s="359"/>
    </row>
    <row r="180" spans="1:19" s="1" customFormat="1" x14ac:dyDescent="0.25">
      <c r="B180" s="369">
        <v>11</v>
      </c>
      <c r="C180" s="370" t="s">
        <v>490</v>
      </c>
      <c r="D180" s="358">
        <f t="shared" si="96"/>
        <v>0</v>
      </c>
      <c r="E180" s="359"/>
      <c r="F180" s="360">
        <f t="shared" si="97"/>
        <v>0</v>
      </c>
      <c r="G180" s="359"/>
      <c r="H180" s="359"/>
      <c r="I180" s="359"/>
      <c r="J180" s="360">
        <f t="shared" si="98"/>
        <v>0</v>
      </c>
      <c r="K180" s="359"/>
      <c r="L180" s="359"/>
      <c r="M180" s="359"/>
      <c r="N180" s="359"/>
      <c r="O180" s="359"/>
      <c r="P180" s="359"/>
    </row>
    <row r="181" spans="1:19" s="1" customFormat="1" x14ac:dyDescent="0.25">
      <c r="B181" s="369">
        <v>12</v>
      </c>
      <c r="C181" s="370" t="s">
        <v>491</v>
      </c>
      <c r="D181" s="358">
        <f t="shared" si="96"/>
        <v>0</v>
      </c>
      <c r="E181" s="359"/>
      <c r="F181" s="360">
        <f t="shared" si="97"/>
        <v>0</v>
      </c>
      <c r="G181" s="359"/>
      <c r="H181" s="359"/>
      <c r="I181" s="359"/>
      <c r="J181" s="360">
        <f t="shared" si="98"/>
        <v>0</v>
      </c>
      <c r="K181" s="359"/>
      <c r="L181" s="359"/>
      <c r="M181" s="359"/>
      <c r="N181" s="359"/>
      <c r="O181" s="359"/>
      <c r="P181" s="359"/>
    </row>
    <row r="182" spans="1:19" s="1" customFormat="1" x14ac:dyDescent="0.25">
      <c r="B182" s="369">
        <v>13</v>
      </c>
      <c r="C182" s="370" t="s">
        <v>492</v>
      </c>
      <c r="D182" s="358">
        <f t="shared" si="96"/>
        <v>0</v>
      </c>
      <c r="E182" s="359"/>
      <c r="F182" s="360">
        <f t="shared" si="97"/>
        <v>0</v>
      </c>
      <c r="G182" s="359"/>
      <c r="H182" s="359"/>
      <c r="I182" s="359"/>
      <c r="J182" s="360">
        <f t="shared" si="98"/>
        <v>0</v>
      </c>
      <c r="K182" s="359"/>
      <c r="L182" s="359"/>
      <c r="M182" s="359"/>
      <c r="N182" s="359"/>
      <c r="O182" s="359"/>
      <c r="P182" s="359"/>
    </row>
    <row r="183" spans="1:19" s="1" customFormat="1" ht="15.75" thickBot="1" x14ac:dyDescent="0.3">
      <c r="B183" s="371">
        <v>14</v>
      </c>
      <c r="C183" s="372" t="s">
        <v>493</v>
      </c>
      <c r="D183" s="362">
        <f t="shared" si="96"/>
        <v>0</v>
      </c>
      <c r="E183" s="363"/>
      <c r="F183" s="364">
        <f t="shared" si="97"/>
        <v>0</v>
      </c>
      <c r="G183" s="363"/>
      <c r="H183" s="363"/>
      <c r="I183" s="363"/>
      <c r="J183" s="364">
        <f t="shared" si="98"/>
        <v>0</v>
      </c>
      <c r="K183" s="363"/>
      <c r="L183" s="363"/>
      <c r="M183" s="363"/>
      <c r="N183" s="363"/>
      <c r="O183" s="363"/>
      <c r="P183" s="363"/>
    </row>
    <row r="184" spans="1:19" s="1" customFormat="1" ht="15.75" thickBot="1" x14ac:dyDescent="0.3">
      <c r="B184" s="373" t="s">
        <v>494</v>
      </c>
      <c r="C184" s="374" t="s">
        <v>392</v>
      </c>
      <c r="D184" s="375">
        <f t="shared" si="96"/>
        <v>100</v>
      </c>
      <c r="E184" s="376">
        <v>5.24</v>
      </c>
      <c r="F184" s="377">
        <f t="shared" si="97"/>
        <v>44.470000000000006</v>
      </c>
      <c r="G184" s="376">
        <v>7.07</v>
      </c>
      <c r="H184" s="376">
        <v>25.55</v>
      </c>
      <c r="I184" s="376">
        <v>11.85</v>
      </c>
      <c r="J184" s="377">
        <f t="shared" si="98"/>
        <v>50.29</v>
      </c>
      <c r="K184" s="376">
        <v>24.5</v>
      </c>
      <c r="L184" s="376">
        <v>19.440000000000001</v>
      </c>
      <c r="M184" s="376">
        <v>6.35</v>
      </c>
      <c r="N184" s="376"/>
      <c r="O184" s="376"/>
      <c r="P184" s="376"/>
    </row>
    <row r="185" spans="1:19" s="1" customFormat="1" ht="15.75" thickBot="1" x14ac:dyDescent="0.3">
      <c r="B185" s="380" t="s">
        <v>495</v>
      </c>
      <c r="C185" s="381" t="s">
        <v>394</v>
      </c>
      <c r="D185" s="382">
        <f t="shared" si="96"/>
        <v>100</v>
      </c>
      <c r="E185" s="383"/>
      <c r="F185" s="384">
        <f t="shared" si="97"/>
        <v>46.919999999999995</v>
      </c>
      <c r="G185" s="383">
        <v>7.46</v>
      </c>
      <c r="H185" s="383">
        <v>26.95</v>
      </c>
      <c r="I185" s="383">
        <v>12.51</v>
      </c>
      <c r="J185" s="384">
        <f t="shared" si="98"/>
        <v>53.08</v>
      </c>
      <c r="K185" s="383">
        <v>25.86</v>
      </c>
      <c r="L185" s="383">
        <v>20.52</v>
      </c>
      <c r="M185" s="383">
        <v>6.7</v>
      </c>
      <c r="N185" s="383"/>
      <c r="O185" s="383"/>
      <c r="P185" s="383"/>
    </row>
    <row r="186" spans="1:19" s="1" customFormat="1" ht="45" customHeight="1" thickTop="1" thickBot="1" x14ac:dyDescent="0.3">
      <c r="B186" s="133" t="s">
        <v>77</v>
      </c>
      <c r="C186" s="134" t="s">
        <v>496</v>
      </c>
      <c r="D186" s="315">
        <f t="shared" ref="D186:P186" si="99">D187+D189+D192+D194+D201+D200+D206+D210+D213+D229+D230</f>
        <v>149.35983000000002</v>
      </c>
      <c r="E186" s="385">
        <f t="shared" si="99"/>
        <v>7.8240436691537747</v>
      </c>
      <c r="F186" s="133">
        <f t="shared" si="99"/>
        <v>60.808996352756161</v>
      </c>
      <c r="G186" s="228">
        <f t="shared" si="99"/>
        <v>7.1204832483745939</v>
      </c>
      <c r="H186" s="229">
        <f t="shared" si="99"/>
        <v>32.824020166039411</v>
      </c>
      <c r="I186" s="230">
        <f t="shared" si="99"/>
        <v>20.864492938342153</v>
      </c>
      <c r="J186" s="133">
        <f t="shared" si="99"/>
        <v>80.171481446367764</v>
      </c>
      <c r="K186" s="228">
        <f t="shared" si="99"/>
        <v>43.795788964996603</v>
      </c>
      <c r="L186" s="229">
        <f t="shared" si="99"/>
        <v>27.011276341286106</v>
      </c>
      <c r="M186" s="229">
        <f t="shared" si="99"/>
        <v>9.3644161400850514</v>
      </c>
      <c r="N186" s="226">
        <f t="shared" si="99"/>
        <v>0</v>
      </c>
      <c r="O186" s="227">
        <f t="shared" si="99"/>
        <v>0</v>
      </c>
      <c r="P186" s="133">
        <f t="shared" si="99"/>
        <v>0.55530853172228833</v>
      </c>
      <c r="Q186" s="316"/>
      <c r="R186" s="317"/>
      <c r="S186" s="204"/>
    </row>
    <row r="187" spans="1:19" s="1" customFormat="1" ht="15.75" thickTop="1" x14ac:dyDescent="0.25">
      <c r="B187" s="386" t="s">
        <v>497</v>
      </c>
      <c r="C187" s="387" t="s">
        <v>303</v>
      </c>
      <c r="D187" s="388">
        <f t="shared" ref="D187:P187" si="100">D188</f>
        <v>2.8812700000000002</v>
      </c>
      <c r="E187" s="389">
        <f t="shared" si="100"/>
        <v>0.15425345028452594</v>
      </c>
      <c r="F187" s="386">
        <f t="shared" si="100"/>
        <v>1.1713819926996449</v>
      </c>
      <c r="G187" s="390">
        <f t="shared" si="100"/>
        <v>0.13848037540522945</v>
      </c>
      <c r="H187" s="391">
        <f t="shared" si="100"/>
        <v>0.64080788800680466</v>
      </c>
      <c r="I187" s="392">
        <f t="shared" si="100"/>
        <v>0.39209372928761077</v>
      </c>
      <c r="J187" s="386">
        <f t="shared" si="100"/>
        <v>1.5446864768909314</v>
      </c>
      <c r="K187" s="390">
        <f t="shared" si="100"/>
        <v>0.82826390797591021</v>
      </c>
      <c r="L187" s="391">
        <f t="shared" si="100"/>
        <v>0.53192066739027477</v>
      </c>
      <c r="M187" s="391">
        <f t="shared" si="100"/>
        <v>0.18450190152474644</v>
      </c>
      <c r="N187" s="393">
        <f t="shared" si="100"/>
        <v>0</v>
      </c>
      <c r="O187" s="394">
        <f t="shared" si="100"/>
        <v>0</v>
      </c>
      <c r="P187" s="386">
        <f t="shared" si="100"/>
        <v>1.0948080124898084E-2</v>
      </c>
      <c r="Q187" s="316"/>
      <c r="R187" s="317"/>
    </row>
    <row r="188" spans="1:19" s="1" customFormat="1" ht="26.25" thickBot="1" x14ac:dyDescent="0.3">
      <c r="A188" s="395"/>
      <c r="B188" s="170" t="s">
        <v>498</v>
      </c>
      <c r="C188" s="167" t="s">
        <v>499</v>
      </c>
      <c r="D188" s="396">
        <v>2.8812700000000002</v>
      </c>
      <c r="E188" s="397">
        <f>IFERROR($D188*E$237/100, 0)</f>
        <v>0.15425345028452594</v>
      </c>
      <c r="F188" s="309">
        <f>SUM(G188:I188)</f>
        <v>1.1713819926996449</v>
      </c>
      <c r="G188" s="398">
        <f>IFERROR($D188*G$237/100, 0)</f>
        <v>0.13848037540522945</v>
      </c>
      <c r="H188" s="399">
        <f>IFERROR($D188*H$237/100, 0)</f>
        <v>0.64080788800680466</v>
      </c>
      <c r="I188" s="400">
        <f>IFERROR($D188*I$237/100, 0)</f>
        <v>0.39209372928761077</v>
      </c>
      <c r="J188" s="309">
        <f t="shared" ref="J188:J235" si="101">SUM(K188:M188)</f>
        <v>1.5446864768909314</v>
      </c>
      <c r="K188" s="398">
        <f t="shared" ref="K188:P188" si="102">IFERROR($D188*K$237/100, 0)</f>
        <v>0.82826390797591021</v>
      </c>
      <c r="L188" s="399">
        <f t="shared" si="102"/>
        <v>0.53192066739027477</v>
      </c>
      <c r="M188" s="399">
        <f t="shared" si="102"/>
        <v>0.18450190152474644</v>
      </c>
      <c r="N188" s="401">
        <f t="shared" si="102"/>
        <v>0</v>
      </c>
      <c r="O188" s="402">
        <f t="shared" si="102"/>
        <v>0</v>
      </c>
      <c r="P188" s="309">
        <f t="shared" si="102"/>
        <v>1.0948080124898084E-2</v>
      </c>
      <c r="Q188" s="327"/>
      <c r="R188" s="328"/>
    </row>
    <row r="189" spans="1:19" s="4" customFormat="1" x14ac:dyDescent="0.25">
      <c r="B189" s="149" t="s">
        <v>171</v>
      </c>
      <c r="C189" s="203" t="s">
        <v>313</v>
      </c>
      <c r="D189" s="329">
        <f t="shared" ref="D189:I189" si="103">SUM(D190:D191)</f>
        <v>0</v>
      </c>
      <c r="E189" s="403">
        <f t="shared" si="103"/>
        <v>0</v>
      </c>
      <c r="F189" s="153">
        <f t="shared" si="103"/>
        <v>0</v>
      </c>
      <c r="G189" s="154">
        <f t="shared" si="103"/>
        <v>0</v>
      </c>
      <c r="H189" s="155">
        <f t="shared" si="103"/>
        <v>0</v>
      </c>
      <c r="I189" s="156">
        <f t="shared" si="103"/>
        <v>0</v>
      </c>
      <c r="J189" s="153">
        <f t="shared" si="101"/>
        <v>0</v>
      </c>
      <c r="K189" s="154">
        <f t="shared" ref="K189:P189" si="104">SUM(K190:K191)</f>
        <v>0</v>
      </c>
      <c r="L189" s="155">
        <f t="shared" si="104"/>
        <v>0</v>
      </c>
      <c r="M189" s="155">
        <f t="shared" si="104"/>
        <v>0</v>
      </c>
      <c r="N189" s="151">
        <f t="shared" si="104"/>
        <v>0</v>
      </c>
      <c r="O189" s="152">
        <f t="shared" si="104"/>
        <v>0</v>
      </c>
      <c r="P189" s="153">
        <f t="shared" si="104"/>
        <v>0</v>
      </c>
      <c r="Q189" s="316"/>
      <c r="R189" s="317"/>
    </row>
    <row r="190" spans="1:19" s="1" customFormat="1" x14ac:dyDescent="0.25">
      <c r="B190" s="258" t="s">
        <v>500</v>
      </c>
      <c r="C190" s="167" t="s">
        <v>501</v>
      </c>
      <c r="D190" s="326"/>
      <c r="E190" s="404">
        <f>IFERROR($D190*E$237/100, 0)</f>
        <v>0</v>
      </c>
      <c r="F190" s="205">
        <f t="shared" ref="F190:F235" si="105">SUM(G190:I190)</f>
        <v>0</v>
      </c>
      <c r="G190" s="209">
        <f t="shared" ref="G190:I191" si="106">IFERROR($D190*G$237/100, 0)</f>
        <v>0</v>
      </c>
      <c r="H190" s="210">
        <f t="shared" si="106"/>
        <v>0</v>
      </c>
      <c r="I190" s="211">
        <f t="shared" si="106"/>
        <v>0</v>
      </c>
      <c r="J190" s="205">
        <f t="shared" si="101"/>
        <v>0</v>
      </c>
      <c r="K190" s="209">
        <f t="shared" ref="K190:P191" si="107">IFERROR($D190*K$237/100, 0)</f>
        <v>0</v>
      </c>
      <c r="L190" s="210">
        <f t="shared" si="107"/>
        <v>0</v>
      </c>
      <c r="M190" s="210">
        <f t="shared" si="107"/>
        <v>0</v>
      </c>
      <c r="N190" s="207">
        <f t="shared" si="107"/>
        <v>0</v>
      </c>
      <c r="O190" s="208">
        <f t="shared" si="107"/>
        <v>0</v>
      </c>
      <c r="P190" s="205">
        <f t="shared" si="107"/>
        <v>0</v>
      </c>
      <c r="Q190" s="327"/>
      <c r="R190" s="328"/>
    </row>
    <row r="191" spans="1:19" s="1" customFormat="1" ht="15.75" thickBot="1" x14ac:dyDescent="0.3">
      <c r="B191" s="405" t="s">
        <v>502</v>
      </c>
      <c r="C191" s="406" t="s">
        <v>317</v>
      </c>
      <c r="D191" s="336"/>
      <c r="E191" s="407">
        <f>IFERROR($D191*E$237/100, 0)</f>
        <v>0</v>
      </c>
      <c r="F191" s="338">
        <f t="shared" si="105"/>
        <v>0</v>
      </c>
      <c r="G191" s="339">
        <f t="shared" si="106"/>
        <v>0</v>
      </c>
      <c r="H191" s="340">
        <f t="shared" si="106"/>
        <v>0</v>
      </c>
      <c r="I191" s="341">
        <f t="shared" si="106"/>
        <v>0</v>
      </c>
      <c r="J191" s="338">
        <f t="shared" si="101"/>
        <v>0</v>
      </c>
      <c r="K191" s="339">
        <f t="shared" si="107"/>
        <v>0</v>
      </c>
      <c r="L191" s="340">
        <f t="shared" si="107"/>
        <v>0</v>
      </c>
      <c r="M191" s="340">
        <f t="shared" si="107"/>
        <v>0</v>
      </c>
      <c r="N191" s="342">
        <f t="shared" si="107"/>
        <v>0</v>
      </c>
      <c r="O191" s="337">
        <f t="shared" si="107"/>
        <v>0</v>
      </c>
      <c r="P191" s="338">
        <f t="shared" si="107"/>
        <v>0</v>
      </c>
      <c r="Q191" s="327"/>
      <c r="R191" s="328"/>
    </row>
    <row r="192" spans="1:19" s="1" customFormat="1" x14ac:dyDescent="0.25">
      <c r="B192" s="141" t="s">
        <v>173</v>
      </c>
      <c r="C192" s="142" t="s">
        <v>319</v>
      </c>
      <c r="D192" s="408">
        <f>D193</f>
        <v>0</v>
      </c>
      <c r="E192" s="409">
        <f>E193</f>
        <v>0</v>
      </c>
      <c r="F192" s="145">
        <f t="shared" si="105"/>
        <v>0</v>
      </c>
      <c r="G192" s="146">
        <f>G193</f>
        <v>0</v>
      </c>
      <c r="H192" s="147">
        <f>H193</f>
        <v>0</v>
      </c>
      <c r="I192" s="148">
        <f>I193</f>
        <v>0</v>
      </c>
      <c r="J192" s="145">
        <f t="shared" si="101"/>
        <v>0</v>
      </c>
      <c r="K192" s="146">
        <f t="shared" ref="K192:P192" si="108">K193</f>
        <v>0</v>
      </c>
      <c r="L192" s="147">
        <f t="shared" si="108"/>
        <v>0</v>
      </c>
      <c r="M192" s="147">
        <f t="shared" si="108"/>
        <v>0</v>
      </c>
      <c r="N192" s="143">
        <f t="shared" si="108"/>
        <v>0</v>
      </c>
      <c r="O192" s="144">
        <f t="shared" si="108"/>
        <v>0</v>
      </c>
      <c r="P192" s="145">
        <f t="shared" si="108"/>
        <v>0</v>
      </c>
      <c r="Q192" s="316"/>
      <c r="R192" s="317"/>
    </row>
    <row r="193" spans="2:18" s="1" customFormat="1" ht="15.75" thickBot="1" x14ac:dyDescent="0.3">
      <c r="B193" s="166" t="s">
        <v>503</v>
      </c>
      <c r="C193" s="167" t="s">
        <v>321</v>
      </c>
      <c r="D193" s="326"/>
      <c r="E193" s="404">
        <f>IFERROR($D193*E$237/100, 0)</f>
        <v>0</v>
      </c>
      <c r="F193" s="205">
        <f t="shared" si="105"/>
        <v>0</v>
      </c>
      <c r="G193" s="209">
        <f>IFERROR($D193*G$237/100, 0)</f>
        <v>0</v>
      </c>
      <c r="H193" s="210">
        <f>IFERROR($D193*H$237/100, 0)</f>
        <v>0</v>
      </c>
      <c r="I193" s="211">
        <f>IFERROR($D193*I$237/100, 0)</f>
        <v>0</v>
      </c>
      <c r="J193" s="205">
        <f t="shared" si="101"/>
        <v>0</v>
      </c>
      <c r="K193" s="209">
        <f t="shared" ref="K193:P193" si="109">IFERROR($D193*K$237/100, 0)</f>
        <v>0</v>
      </c>
      <c r="L193" s="210">
        <f t="shared" si="109"/>
        <v>0</v>
      </c>
      <c r="M193" s="210">
        <f t="shared" si="109"/>
        <v>0</v>
      </c>
      <c r="N193" s="207">
        <f t="shared" si="109"/>
        <v>0</v>
      </c>
      <c r="O193" s="208">
        <f t="shared" si="109"/>
        <v>0</v>
      </c>
      <c r="P193" s="205">
        <f t="shared" si="109"/>
        <v>0</v>
      </c>
      <c r="Q193" s="327"/>
      <c r="R193" s="328"/>
    </row>
    <row r="194" spans="2:18" s="4" customFormat="1" x14ac:dyDescent="0.25">
      <c r="B194" s="149" t="s">
        <v>175</v>
      </c>
      <c r="C194" s="203" t="s">
        <v>323</v>
      </c>
      <c r="D194" s="329">
        <f>SUM(D195:D199)</f>
        <v>0.14993000000000001</v>
      </c>
      <c r="E194" s="403">
        <f>SUM(E195:E199)</f>
        <v>8.0267450815643699E-3</v>
      </c>
      <c r="F194" s="153">
        <f t="shared" si="105"/>
        <v>6.095412861878885E-2</v>
      </c>
      <c r="G194" s="154">
        <f>SUM(G195:G199)</f>
        <v>7.2059760746150314E-3</v>
      </c>
      <c r="H194" s="155">
        <f>SUM(H195:H199)</f>
        <v>3.3345131365286905E-2</v>
      </c>
      <c r="I194" s="156">
        <f>SUM(I195:I199)</f>
        <v>2.0403021178886909E-2</v>
      </c>
      <c r="J194" s="153">
        <f t="shared" si="101"/>
        <v>8.0379431112064234E-2</v>
      </c>
      <c r="K194" s="154">
        <f t="shared" ref="K194:P194" si="110">SUM(K195:K199)</f>
        <v>4.309960806270436E-2</v>
      </c>
      <c r="L194" s="155">
        <f t="shared" si="110"/>
        <v>2.7679067099516494E-2</v>
      </c>
      <c r="M194" s="155">
        <f t="shared" si="110"/>
        <v>9.6007559498433783E-3</v>
      </c>
      <c r="N194" s="151">
        <f t="shared" si="110"/>
        <v>0</v>
      </c>
      <c r="O194" s="152">
        <f t="shared" si="110"/>
        <v>0</v>
      </c>
      <c r="P194" s="153">
        <f t="shared" si="110"/>
        <v>5.696951875825484E-4</v>
      </c>
      <c r="Q194" s="316"/>
      <c r="R194" s="317"/>
    </row>
    <row r="195" spans="2:18" s="1" customFormat="1" x14ac:dyDescent="0.25">
      <c r="B195" s="166" t="s">
        <v>504</v>
      </c>
      <c r="C195" s="167" t="s">
        <v>277</v>
      </c>
      <c r="D195" s="326">
        <v>0.10895000000000001</v>
      </c>
      <c r="E195" s="404">
        <f>IFERROR($D195*E$237/100, 0)</f>
        <v>5.8328144910053904E-3</v>
      </c>
      <c r="F195" s="205">
        <f t="shared" si="105"/>
        <v>4.4293685806823482E-2</v>
      </c>
      <c r="G195" s="209">
        <f t="shared" ref="G195:I199" si="111">IFERROR($D195*G$237/100, 0)</f>
        <v>5.2363842681872053E-3</v>
      </c>
      <c r="H195" s="210">
        <f t="shared" si="111"/>
        <v>2.4230988209484484E-2</v>
      </c>
      <c r="I195" s="211">
        <f t="shared" si="111"/>
        <v>1.4826313329151797E-2</v>
      </c>
      <c r="J195" s="205">
        <f t="shared" si="101"/>
        <v>5.8409517906085492E-2</v>
      </c>
      <c r="K195" s="209">
        <f t="shared" ref="K195:P199" si="112">IFERROR($D195*K$237/100, 0)</f>
        <v>3.1319297661786434E-2</v>
      </c>
      <c r="L195" s="210">
        <f t="shared" si="112"/>
        <v>2.011361542381326E-2</v>
      </c>
      <c r="M195" s="210">
        <f t="shared" si="112"/>
        <v>6.9766048204857999E-3</v>
      </c>
      <c r="N195" s="207">
        <f t="shared" si="112"/>
        <v>0</v>
      </c>
      <c r="O195" s="208">
        <f t="shared" si="112"/>
        <v>0</v>
      </c>
      <c r="P195" s="205">
        <f t="shared" si="112"/>
        <v>4.1398179608563096E-4</v>
      </c>
      <c r="Q195" s="327"/>
      <c r="R195" s="328"/>
    </row>
    <row r="196" spans="2:18" s="1" customFormat="1" x14ac:dyDescent="0.25">
      <c r="B196" s="166" t="s">
        <v>505</v>
      </c>
      <c r="C196" s="167" t="s">
        <v>281</v>
      </c>
      <c r="D196" s="326"/>
      <c r="E196" s="404">
        <f>IFERROR($D196*E$237/100, 0)</f>
        <v>0</v>
      </c>
      <c r="F196" s="205">
        <f t="shared" si="105"/>
        <v>0</v>
      </c>
      <c r="G196" s="209">
        <f t="shared" si="111"/>
        <v>0</v>
      </c>
      <c r="H196" s="210">
        <f t="shared" si="111"/>
        <v>0</v>
      </c>
      <c r="I196" s="211">
        <f t="shared" si="111"/>
        <v>0</v>
      </c>
      <c r="J196" s="205">
        <f t="shared" si="101"/>
        <v>0</v>
      </c>
      <c r="K196" s="209">
        <f t="shared" si="112"/>
        <v>0</v>
      </c>
      <c r="L196" s="210">
        <f t="shared" si="112"/>
        <v>0</v>
      </c>
      <c r="M196" s="210">
        <f t="shared" si="112"/>
        <v>0</v>
      </c>
      <c r="N196" s="207">
        <f t="shared" si="112"/>
        <v>0</v>
      </c>
      <c r="O196" s="208">
        <f t="shared" si="112"/>
        <v>0</v>
      </c>
      <c r="P196" s="205">
        <f t="shared" si="112"/>
        <v>0</v>
      </c>
      <c r="Q196" s="327"/>
      <c r="R196" s="328"/>
    </row>
    <row r="197" spans="2:18" s="1" customFormat="1" x14ac:dyDescent="0.25">
      <c r="B197" s="166" t="s">
        <v>506</v>
      </c>
      <c r="C197" s="249" t="s">
        <v>327</v>
      </c>
      <c r="D197" s="326">
        <v>4.4000000000000003E-3</v>
      </c>
      <c r="E197" s="404">
        <f>IFERROR($D197*E$237/100, 0)</f>
        <v>2.3556111758075922E-4</v>
      </c>
      <c r="F197" s="205">
        <f t="shared" si="105"/>
        <v>1.788822556677589E-3</v>
      </c>
      <c r="G197" s="209">
        <f t="shared" si="111"/>
        <v>2.1147398604886371E-4</v>
      </c>
      <c r="H197" s="210">
        <f t="shared" si="111"/>
        <v>9.785805242930861E-4</v>
      </c>
      <c r="I197" s="211">
        <f t="shared" si="111"/>
        <v>5.9876804633563928E-4</v>
      </c>
      <c r="J197" s="205">
        <f t="shared" si="101"/>
        <v>2.3588974647707774E-3</v>
      </c>
      <c r="K197" s="209">
        <f t="shared" si="112"/>
        <v>1.2648454310404803E-3</v>
      </c>
      <c r="L197" s="210">
        <f t="shared" si="112"/>
        <v>8.1229837416042533E-4</v>
      </c>
      <c r="M197" s="210">
        <f t="shared" si="112"/>
        <v>2.8175365956987169E-4</v>
      </c>
      <c r="N197" s="207">
        <f t="shared" si="112"/>
        <v>0</v>
      </c>
      <c r="O197" s="208">
        <f t="shared" si="112"/>
        <v>0</v>
      </c>
      <c r="P197" s="205">
        <f t="shared" si="112"/>
        <v>1.6718860970874498E-5</v>
      </c>
      <c r="Q197" s="327"/>
      <c r="R197" s="328"/>
    </row>
    <row r="198" spans="2:18" s="1" customFormat="1" x14ac:dyDescent="0.25">
      <c r="B198" s="166" t="s">
        <v>507</v>
      </c>
      <c r="C198" s="250" t="s">
        <v>279</v>
      </c>
      <c r="D198" s="326">
        <v>3.6580000000000001E-2</v>
      </c>
      <c r="E198" s="404">
        <f>IFERROR($D198*E$237/100, 0)</f>
        <v>1.958369472978221E-3</v>
      </c>
      <c r="F198" s="205">
        <f t="shared" si="105"/>
        <v>1.4871620255287776E-2</v>
      </c>
      <c r="G198" s="209">
        <f t="shared" si="111"/>
        <v>1.7581178203789625E-3</v>
      </c>
      <c r="H198" s="210">
        <f t="shared" si="111"/>
        <v>8.1355626315093386E-3</v>
      </c>
      <c r="I198" s="211">
        <f t="shared" si="111"/>
        <v>4.9779398033994735E-3</v>
      </c>
      <c r="J198" s="205">
        <f t="shared" si="101"/>
        <v>1.9611015741207959E-2</v>
      </c>
      <c r="K198" s="209">
        <f t="shared" si="112"/>
        <v>1.0515464969877446E-2</v>
      </c>
      <c r="L198" s="210">
        <f t="shared" si="112"/>
        <v>6.7531533015428094E-3</v>
      </c>
      <c r="M198" s="210">
        <f t="shared" si="112"/>
        <v>2.3423974697877061E-3</v>
      </c>
      <c r="N198" s="207">
        <f t="shared" si="112"/>
        <v>0</v>
      </c>
      <c r="O198" s="208">
        <f t="shared" si="112"/>
        <v>0</v>
      </c>
      <c r="P198" s="205">
        <f t="shared" si="112"/>
        <v>1.3899453052604297E-4</v>
      </c>
      <c r="Q198" s="327"/>
      <c r="R198" s="328"/>
    </row>
    <row r="199" spans="2:18" s="1" customFormat="1" ht="27" thickBot="1" x14ac:dyDescent="0.3">
      <c r="B199" s="166" t="s">
        <v>508</v>
      </c>
      <c r="C199" s="250" t="s">
        <v>330</v>
      </c>
      <c r="D199" s="326"/>
      <c r="E199" s="404">
        <f>IFERROR($D199*E$237/100, 0)</f>
        <v>0</v>
      </c>
      <c r="F199" s="205">
        <f t="shared" si="105"/>
        <v>0</v>
      </c>
      <c r="G199" s="209">
        <f t="shared" si="111"/>
        <v>0</v>
      </c>
      <c r="H199" s="210">
        <f t="shared" si="111"/>
        <v>0</v>
      </c>
      <c r="I199" s="211">
        <f t="shared" si="111"/>
        <v>0</v>
      </c>
      <c r="J199" s="205">
        <f t="shared" si="101"/>
        <v>0</v>
      </c>
      <c r="K199" s="209">
        <f t="shared" si="112"/>
        <v>0</v>
      </c>
      <c r="L199" s="210">
        <f t="shared" si="112"/>
        <v>0</v>
      </c>
      <c r="M199" s="210">
        <f t="shared" si="112"/>
        <v>0</v>
      </c>
      <c r="N199" s="207">
        <f t="shared" si="112"/>
        <v>0</v>
      </c>
      <c r="O199" s="208">
        <f t="shared" si="112"/>
        <v>0</v>
      </c>
      <c r="P199" s="205">
        <f t="shared" si="112"/>
        <v>0</v>
      </c>
      <c r="Q199" s="327"/>
      <c r="R199" s="328"/>
    </row>
    <row r="200" spans="2:18" s="4" customFormat="1" ht="15.75" thickBot="1" x14ac:dyDescent="0.3">
      <c r="B200" s="149" t="s">
        <v>177</v>
      </c>
      <c r="C200" s="238" t="s">
        <v>332</v>
      </c>
      <c r="D200" s="410">
        <v>3.2160500000000001</v>
      </c>
      <c r="E200" s="403">
        <f>IFERROR($D200*E$238/100, 0)</f>
        <v>0</v>
      </c>
      <c r="F200" s="153">
        <f t="shared" si="105"/>
        <v>1.3941576750000002</v>
      </c>
      <c r="G200" s="154">
        <f>IFERROR($D200*G$238/100, 0)</f>
        <v>9.6481500000000012E-2</v>
      </c>
      <c r="H200" s="155">
        <f>IFERROR($D200*H$238/100, 0)</f>
        <v>0.32096179000000008</v>
      </c>
      <c r="I200" s="156">
        <f>IFERROR($D200*I$238/100, 0)</f>
        <v>0.97671438500000007</v>
      </c>
      <c r="J200" s="153">
        <f t="shared" si="101"/>
        <v>1.8218923250000003</v>
      </c>
      <c r="K200" s="154">
        <f t="shared" ref="K200:P200" si="113">IFERROR($D200*K$238/100, 0)</f>
        <v>1.7845861450000005</v>
      </c>
      <c r="L200" s="155">
        <f t="shared" si="113"/>
        <v>3.1195684999999997E-2</v>
      </c>
      <c r="M200" s="155">
        <f t="shared" si="113"/>
        <v>6.1104950000000014E-3</v>
      </c>
      <c r="N200" s="151">
        <f t="shared" si="113"/>
        <v>0</v>
      </c>
      <c r="O200" s="152">
        <f t="shared" si="113"/>
        <v>0</v>
      </c>
      <c r="P200" s="153">
        <f t="shared" si="113"/>
        <v>0</v>
      </c>
      <c r="Q200" s="316"/>
      <c r="R200" s="317"/>
    </row>
    <row r="201" spans="2:18" s="4" customFormat="1" x14ac:dyDescent="0.25">
      <c r="B201" s="149" t="s">
        <v>179</v>
      </c>
      <c r="C201" s="203" t="s">
        <v>334</v>
      </c>
      <c r="D201" s="329">
        <f>SUM(D202:D205)</f>
        <v>124.2069</v>
      </c>
      <c r="E201" s="403">
        <f>SUM(E202:E205)</f>
        <v>6.6496173125549101</v>
      </c>
      <c r="F201" s="153">
        <f t="shared" si="105"/>
        <v>50.496387367044917</v>
      </c>
      <c r="G201" s="154">
        <f>SUM(G202:G205)</f>
        <v>5.9696655085846846</v>
      </c>
      <c r="H201" s="155">
        <f>SUM(H202:H205)</f>
        <v>27.624193937004296</v>
      </c>
      <c r="I201" s="156">
        <f>SUM(I202:I205)</f>
        <v>16.902527921455935</v>
      </c>
      <c r="J201" s="153">
        <f t="shared" si="101"/>
        <v>66.58894125387215</v>
      </c>
      <c r="K201" s="154">
        <f t="shared" ref="K201:P201" si="114">SUM(K202:K205)</f>
        <v>35.705120447432229</v>
      </c>
      <c r="L201" s="155">
        <f t="shared" si="114"/>
        <v>22.930241574887848</v>
      </c>
      <c r="M201" s="155">
        <f t="shared" si="114"/>
        <v>7.9535792315520677</v>
      </c>
      <c r="N201" s="151">
        <f t="shared" si="114"/>
        <v>0</v>
      </c>
      <c r="O201" s="152">
        <f t="shared" si="114"/>
        <v>0</v>
      </c>
      <c r="P201" s="153">
        <f t="shared" si="114"/>
        <v>0.47195406652802535</v>
      </c>
      <c r="Q201" s="316"/>
      <c r="R201" s="317"/>
    </row>
    <row r="202" spans="2:18" s="1" customFormat="1" x14ac:dyDescent="0.25">
      <c r="B202" s="258" t="s">
        <v>509</v>
      </c>
      <c r="C202" s="259" t="s">
        <v>336</v>
      </c>
      <c r="D202" s="326">
        <v>121.12022</v>
      </c>
      <c r="E202" s="404">
        <f>IFERROR($D202*E$237/100, 0)</f>
        <v>6.4843669056425961</v>
      </c>
      <c r="F202" s="205">
        <f t="shared" si="105"/>
        <v>49.241495819489103</v>
      </c>
      <c r="G202" s="209">
        <f t="shared" ref="G202:I205" si="115">IFERROR($D202*G$237/100, 0)</f>
        <v>5.8213126623898415</v>
      </c>
      <c r="H202" s="210">
        <f t="shared" si="115"/>
        <v>26.937701906839528</v>
      </c>
      <c r="I202" s="211">
        <f t="shared" si="115"/>
        <v>16.482481250259731</v>
      </c>
      <c r="J202" s="205">
        <f t="shared" si="101"/>
        <v>64.934131793290632</v>
      </c>
      <c r="K202" s="209">
        <f t="shared" ref="K202:P205" si="116">IFERROR($D202*K$237/100, 0)</f>
        <v>34.81780838036768</v>
      </c>
      <c r="L202" s="210">
        <f t="shared" si="116"/>
        <v>22.360399496352962</v>
      </c>
      <c r="M202" s="210">
        <f t="shared" si="116"/>
        <v>7.7559239165699925</v>
      </c>
      <c r="N202" s="207">
        <f t="shared" si="116"/>
        <v>0</v>
      </c>
      <c r="O202" s="208">
        <f t="shared" si="116"/>
        <v>0</v>
      </c>
      <c r="P202" s="205">
        <f t="shared" si="116"/>
        <v>0.46022548157766652</v>
      </c>
      <c r="Q202" s="327"/>
      <c r="R202" s="328"/>
    </row>
    <row r="203" spans="2:18" s="1" customFormat="1" x14ac:dyDescent="0.25">
      <c r="B203" s="258" t="s">
        <v>510</v>
      </c>
      <c r="C203" s="259" t="s">
        <v>338</v>
      </c>
      <c r="D203" s="326">
        <v>2.0707800000000001</v>
      </c>
      <c r="E203" s="404">
        <f>IFERROR($D203*E$237/100, 0)</f>
        <v>0.11086255705997376</v>
      </c>
      <c r="F203" s="205">
        <f t="shared" si="105"/>
        <v>0.84187681225382227</v>
      </c>
      <c r="G203" s="209">
        <f t="shared" si="115"/>
        <v>9.9526386552333188E-2</v>
      </c>
      <c r="H203" s="210">
        <f t="shared" si="115"/>
        <v>0.46055113138537201</v>
      </c>
      <c r="I203" s="211">
        <f t="shared" si="115"/>
        <v>0.28179929431611705</v>
      </c>
      <c r="J203" s="205">
        <f t="shared" si="101"/>
        <v>1.1101722027495522</v>
      </c>
      <c r="K203" s="209">
        <f t="shared" si="116"/>
        <v>0.59527650492954676</v>
      </c>
      <c r="L203" s="210">
        <f t="shared" si="116"/>
        <v>0.38229346073725579</v>
      </c>
      <c r="M203" s="210">
        <f t="shared" si="116"/>
        <v>0.13260223708274974</v>
      </c>
      <c r="N203" s="207">
        <f t="shared" si="116"/>
        <v>0</v>
      </c>
      <c r="O203" s="208">
        <f t="shared" si="116"/>
        <v>0</v>
      </c>
      <c r="P203" s="205">
        <f t="shared" si="116"/>
        <v>7.8684279366517014E-3</v>
      </c>
      <c r="Q203" s="327"/>
      <c r="R203" s="328"/>
    </row>
    <row r="204" spans="2:18" s="1" customFormat="1" x14ac:dyDescent="0.25">
      <c r="B204" s="258" t="s">
        <v>511</v>
      </c>
      <c r="C204" s="259" t="s">
        <v>340</v>
      </c>
      <c r="D204" s="326">
        <v>0.51390000000000002</v>
      </c>
      <c r="E204" s="404">
        <f>IFERROR($D204*E$237/100, 0)</f>
        <v>2.7512467801080034E-2</v>
      </c>
      <c r="F204" s="205">
        <f t="shared" si="105"/>
        <v>0.20892634360832113</v>
      </c>
      <c r="G204" s="209">
        <f t="shared" si="115"/>
        <v>2.4699200325116147E-2</v>
      </c>
      <c r="H204" s="210">
        <f t="shared" si="115"/>
        <v>0.11429375714414021</v>
      </c>
      <c r="I204" s="211">
        <f t="shared" si="115"/>
        <v>6.9933386139064788E-2</v>
      </c>
      <c r="J204" s="205">
        <f t="shared" si="101"/>
        <v>0.27550850162402324</v>
      </c>
      <c r="K204" s="209">
        <f t="shared" si="116"/>
        <v>0.14772819704811427</v>
      </c>
      <c r="L204" s="210">
        <f t="shared" si="116"/>
        <v>9.4872757836600582E-2</v>
      </c>
      <c r="M204" s="210">
        <f t="shared" si="116"/>
        <v>3.2907546739308423E-2</v>
      </c>
      <c r="N204" s="207">
        <f t="shared" si="116"/>
        <v>0</v>
      </c>
      <c r="O204" s="208">
        <f t="shared" si="116"/>
        <v>0</v>
      </c>
      <c r="P204" s="205">
        <f t="shared" si="116"/>
        <v>1.9526869665755465E-3</v>
      </c>
      <c r="Q204" s="327"/>
      <c r="R204" s="328"/>
    </row>
    <row r="205" spans="2:18" s="1" customFormat="1" ht="15.75" thickBot="1" x14ac:dyDescent="0.3">
      <c r="B205" s="258" t="s">
        <v>512</v>
      </c>
      <c r="C205" s="259" t="s">
        <v>342</v>
      </c>
      <c r="D205" s="326">
        <v>0.502</v>
      </c>
      <c r="E205" s="404">
        <f>IFERROR($D205*E$237/100, 0)</f>
        <v>2.6875382051259344E-2</v>
      </c>
      <c r="F205" s="205">
        <f t="shared" si="105"/>
        <v>0.20408839169367038</v>
      </c>
      <c r="G205" s="209">
        <f t="shared" si="115"/>
        <v>2.4127259317393082E-2</v>
      </c>
      <c r="H205" s="210">
        <f t="shared" si="115"/>
        <v>0.11164714163525664</v>
      </c>
      <c r="I205" s="211">
        <f t="shared" si="115"/>
        <v>6.8313990741020666E-2</v>
      </c>
      <c r="J205" s="205">
        <f t="shared" si="101"/>
        <v>0.26912875620793864</v>
      </c>
      <c r="K205" s="209">
        <f t="shared" si="116"/>
        <v>0.14430736508689113</v>
      </c>
      <c r="L205" s="210">
        <f t="shared" si="116"/>
        <v>9.2675859961030338E-2</v>
      </c>
      <c r="M205" s="210">
        <f t="shared" si="116"/>
        <v>3.2145531160017178E-2</v>
      </c>
      <c r="N205" s="207">
        <f t="shared" si="116"/>
        <v>0</v>
      </c>
      <c r="O205" s="208">
        <f t="shared" si="116"/>
        <v>0</v>
      </c>
      <c r="P205" s="205">
        <f t="shared" si="116"/>
        <v>1.9074700471315904E-3</v>
      </c>
      <c r="Q205" s="327"/>
      <c r="R205" s="328"/>
    </row>
    <row r="206" spans="2:18" s="4" customFormat="1" x14ac:dyDescent="0.25">
      <c r="B206" s="149" t="s">
        <v>181</v>
      </c>
      <c r="C206" s="203" t="s">
        <v>344</v>
      </c>
      <c r="D206" s="329">
        <f>SUM(D207:D209)</f>
        <v>0</v>
      </c>
      <c r="E206" s="403">
        <f>SUM(E207:E209)</f>
        <v>0</v>
      </c>
      <c r="F206" s="153">
        <f t="shared" si="105"/>
        <v>0</v>
      </c>
      <c r="G206" s="154">
        <f>SUM(G207:G209)</f>
        <v>0</v>
      </c>
      <c r="H206" s="155">
        <f>SUM(H207:H209)</f>
        <v>0</v>
      </c>
      <c r="I206" s="156">
        <f>SUM(I207:I209)</f>
        <v>0</v>
      </c>
      <c r="J206" s="153">
        <f t="shared" si="101"/>
        <v>0</v>
      </c>
      <c r="K206" s="154">
        <f t="shared" ref="K206:P206" si="117">SUM(K207:K209)</f>
        <v>0</v>
      </c>
      <c r="L206" s="155">
        <f t="shared" si="117"/>
        <v>0</v>
      </c>
      <c r="M206" s="155">
        <f t="shared" si="117"/>
        <v>0</v>
      </c>
      <c r="N206" s="151">
        <f t="shared" si="117"/>
        <v>0</v>
      </c>
      <c r="O206" s="152">
        <f t="shared" si="117"/>
        <v>0</v>
      </c>
      <c r="P206" s="153">
        <f t="shared" si="117"/>
        <v>0</v>
      </c>
      <c r="Q206" s="316"/>
      <c r="R206" s="317"/>
    </row>
    <row r="207" spans="2:18" s="1" customFormat="1" x14ac:dyDescent="0.25">
      <c r="B207" s="258" t="s">
        <v>513</v>
      </c>
      <c r="C207" s="259" t="s">
        <v>350</v>
      </c>
      <c r="D207" s="326"/>
      <c r="E207" s="404">
        <f>IFERROR($D207*E$237/100, 0)</f>
        <v>0</v>
      </c>
      <c r="F207" s="205">
        <f t="shared" si="105"/>
        <v>0</v>
      </c>
      <c r="G207" s="209">
        <f t="shared" ref="G207:I209" si="118">IFERROR($D207*G$237/100, 0)</f>
        <v>0</v>
      </c>
      <c r="H207" s="210">
        <f t="shared" si="118"/>
        <v>0</v>
      </c>
      <c r="I207" s="211">
        <f t="shared" si="118"/>
        <v>0</v>
      </c>
      <c r="J207" s="205">
        <f t="shared" si="101"/>
        <v>0</v>
      </c>
      <c r="K207" s="209">
        <f t="shared" ref="K207:P209" si="119">IFERROR($D207*K$237/100, 0)</f>
        <v>0</v>
      </c>
      <c r="L207" s="210">
        <f t="shared" si="119"/>
        <v>0</v>
      </c>
      <c r="M207" s="210">
        <f t="shared" si="119"/>
        <v>0</v>
      </c>
      <c r="N207" s="207">
        <f t="shared" si="119"/>
        <v>0</v>
      </c>
      <c r="O207" s="208">
        <f t="shared" si="119"/>
        <v>0</v>
      </c>
      <c r="P207" s="205">
        <f t="shared" si="119"/>
        <v>0</v>
      </c>
      <c r="Q207" s="327"/>
      <c r="R207" s="328"/>
    </row>
    <row r="208" spans="2:18" s="1" customFormat="1" x14ac:dyDescent="0.25">
      <c r="B208" s="261" t="s">
        <v>514</v>
      </c>
      <c r="C208" s="259" t="s">
        <v>352</v>
      </c>
      <c r="D208" s="333"/>
      <c r="E208" s="404">
        <f>IFERROR($D208*E$237/100, 0)</f>
        <v>0</v>
      </c>
      <c r="F208" s="205">
        <f t="shared" si="105"/>
        <v>0</v>
      </c>
      <c r="G208" s="209">
        <f t="shared" si="118"/>
        <v>0</v>
      </c>
      <c r="H208" s="210">
        <f t="shared" si="118"/>
        <v>0</v>
      </c>
      <c r="I208" s="211">
        <f t="shared" si="118"/>
        <v>0</v>
      </c>
      <c r="J208" s="205">
        <f t="shared" si="101"/>
        <v>0</v>
      </c>
      <c r="K208" s="209">
        <f t="shared" si="119"/>
        <v>0</v>
      </c>
      <c r="L208" s="210">
        <f t="shared" si="119"/>
        <v>0</v>
      </c>
      <c r="M208" s="210">
        <f t="shared" si="119"/>
        <v>0</v>
      </c>
      <c r="N208" s="207">
        <f t="shared" si="119"/>
        <v>0</v>
      </c>
      <c r="O208" s="208">
        <f t="shared" si="119"/>
        <v>0</v>
      </c>
      <c r="P208" s="205">
        <f t="shared" si="119"/>
        <v>0</v>
      </c>
      <c r="Q208" s="327"/>
      <c r="R208" s="328"/>
    </row>
    <row r="209" spans="2:18" s="1" customFormat="1" ht="15.75" thickBot="1" x14ac:dyDescent="0.3">
      <c r="B209" s="261" t="s">
        <v>515</v>
      </c>
      <c r="C209" s="249" t="s">
        <v>354</v>
      </c>
      <c r="D209" s="326"/>
      <c r="E209" s="404">
        <f>IFERROR($D209*E$237/100, 0)</f>
        <v>0</v>
      </c>
      <c r="F209" s="205">
        <f t="shared" si="105"/>
        <v>0</v>
      </c>
      <c r="G209" s="209">
        <f t="shared" si="118"/>
        <v>0</v>
      </c>
      <c r="H209" s="210">
        <f t="shared" si="118"/>
        <v>0</v>
      </c>
      <c r="I209" s="211">
        <f t="shared" si="118"/>
        <v>0</v>
      </c>
      <c r="J209" s="205">
        <f t="shared" si="101"/>
        <v>0</v>
      </c>
      <c r="K209" s="209">
        <f t="shared" si="119"/>
        <v>0</v>
      </c>
      <c r="L209" s="210">
        <f t="shared" si="119"/>
        <v>0</v>
      </c>
      <c r="M209" s="210">
        <f t="shared" si="119"/>
        <v>0</v>
      </c>
      <c r="N209" s="207">
        <f t="shared" si="119"/>
        <v>0</v>
      </c>
      <c r="O209" s="208">
        <f t="shared" si="119"/>
        <v>0</v>
      </c>
      <c r="P209" s="205">
        <f t="shared" si="119"/>
        <v>0</v>
      </c>
      <c r="Q209" s="327"/>
      <c r="R209" s="328"/>
    </row>
    <row r="210" spans="2:18" s="4" customFormat="1" x14ac:dyDescent="0.25">
      <c r="B210" s="149" t="s">
        <v>183</v>
      </c>
      <c r="C210" s="203" t="s">
        <v>356</v>
      </c>
      <c r="D210" s="329">
        <f>SUM(D211:D212)</f>
        <v>1.1841299999999999</v>
      </c>
      <c r="E210" s="403">
        <f>SUM(E211:E212)</f>
        <v>6.3394315036569171E-2</v>
      </c>
      <c r="F210" s="153">
        <f t="shared" si="105"/>
        <v>0.4814087395542348</v>
      </c>
      <c r="G210" s="154">
        <f>SUM(G211:G212)</f>
        <v>5.6911975250009308E-2</v>
      </c>
      <c r="H210" s="155">
        <f>SUM(H211:H212)</f>
        <v>0.26335603550708453</v>
      </c>
      <c r="I210" s="156">
        <f>SUM(I211:I212)</f>
        <v>0.161140728797141</v>
      </c>
      <c r="J210" s="153">
        <f t="shared" si="101"/>
        <v>0.63482755794523182</v>
      </c>
      <c r="K210" s="154">
        <f t="shared" ref="K210:P210" si="120">SUM(K211:K212)</f>
        <v>0.3403957773313554</v>
      </c>
      <c r="L210" s="155">
        <f t="shared" si="120"/>
        <v>0.21860610768058733</v>
      </c>
      <c r="M210" s="155">
        <f t="shared" si="120"/>
        <v>7.5825672933289123E-2</v>
      </c>
      <c r="N210" s="151">
        <f t="shared" si="120"/>
        <v>0</v>
      </c>
      <c r="O210" s="152">
        <f t="shared" si="120"/>
        <v>0</v>
      </c>
      <c r="P210" s="153">
        <f t="shared" si="120"/>
        <v>4.4993874639640032E-3</v>
      </c>
      <c r="Q210" s="316"/>
      <c r="R210" s="317"/>
    </row>
    <row r="211" spans="2:18" s="1" customFormat="1" x14ac:dyDescent="0.25">
      <c r="B211" s="258" t="s">
        <v>516</v>
      </c>
      <c r="C211" s="259" t="s">
        <v>358</v>
      </c>
      <c r="D211" s="326">
        <v>1.1841299999999999</v>
      </c>
      <c r="E211" s="404">
        <f>IFERROR($D211*E$237/100, 0)</f>
        <v>6.3394315036569171E-2</v>
      </c>
      <c r="F211" s="205">
        <f t="shared" si="105"/>
        <v>0.4814087395542348</v>
      </c>
      <c r="G211" s="209">
        <f t="shared" ref="G211:I212" si="121">IFERROR($D211*G$237/100, 0)</f>
        <v>5.6911975250009308E-2</v>
      </c>
      <c r="H211" s="210">
        <f t="shared" si="121"/>
        <v>0.26335603550708453</v>
      </c>
      <c r="I211" s="211">
        <f t="shared" si="121"/>
        <v>0.161140728797141</v>
      </c>
      <c r="J211" s="205">
        <f t="shared" si="101"/>
        <v>0.63482755794523182</v>
      </c>
      <c r="K211" s="209">
        <f t="shared" ref="K211:P212" si="122">IFERROR($D211*K$237/100, 0)</f>
        <v>0.3403957773313554</v>
      </c>
      <c r="L211" s="210">
        <f t="shared" si="122"/>
        <v>0.21860610768058733</v>
      </c>
      <c r="M211" s="210">
        <f t="shared" si="122"/>
        <v>7.5825672933289123E-2</v>
      </c>
      <c r="N211" s="207">
        <f t="shared" si="122"/>
        <v>0</v>
      </c>
      <c r="O211" s="208">
        <f t="shared" si="122"/>
        <v>0</v>
      </c>
      <c r="P211" s="205">
        <f t="shared" si="122"/>
        <v>4.4993874639640032E-3</v>
      </c>
      <c r="Q211" s="327"/>
      <c r="R211" s="328"/>
    </row>
    <row r="212" spans="2:18" s="1" customFormat="1" ht="15.75" thickBot="1" x14ac:dyDescent="0.3">
      <c r="B212" s="261" t="s">
        <v>517</v>
      </c>
      <c r="C212" s="249" t="s">
        <v>518</v>
      </c>
      <c r="D212" s="326"/>
      <c r="E212" s="404">
        <f>IFERROR($D212*E$237/100, 0)</f>
        <v>0</v>
      </c>
      <c r="F212" s="205">
        <f t="shared" si="105"/>
        <v>0</v>
      </c>
      <c r="G212" s="209">
        <f t="shared" si="121"/>
        <v>0</v>
      </c>
      <c r="H212" s="210">
        <f t="shared" si="121"/>
        <v>0</v>
      </c>
      <c r="I212" s="211">
        <f t="shared" si="121"/>
        <v>0</v>
      </c>
      <c r="J212" s="205">
        <f t="shared" si="101"/>
        <v>0</v>
      </c>
      <c r="K212" s="209">
        <f t="shared" si="122"/>
        <v>0</v>
      </c>
      <c r="L212" s="210">
        <f t="shared" si="122"/>
        <v>0</v>
      </c>
      <c r="M212" s="210">
        <f t="shared" si="122"/>
        <v>0</v>
      </c>
      <c r="N212" s="207">
        <f t="shared" si="122"/>
        <v>0</v>
      </c>
      <c r="O212" s="208">
        <f t="shared" si="122"/>
        <v>0</v>
      </c>
      <c r="P212" s="205">
        <f t="shared" si="122"/>
        <v>0</v>
      </c>
      <c r="Q212" s="327"/>
      <c r="R212" s="328"/>
    </row>
    <row r="213" spans="2:18" s="4" customFormat="1" x14ac:dyDescent="0.25">
      <c r="B213" s="149" t="s">
        <v>185</v>
      </c>
      <c r="C213" s="203" t="s">
        <v>362</v>
      </c>
      <c r="D213" s="329">
        <f>SUM(D214:D228)</f>
        <v>13.048800000000002</v>
      </c>
      <c r="E213" s="403">
        <f>SUM(E214:E228)</f>
        <v>0.69858861615632062</v>
      </c>
      <c r="F213" s="153">
        <f t="shared" si="105"/>
        <v>5.3049972221760289</v>
      </c>
      <c r="G213" s="154">
        <f>SUM(G214:G228)</f>
        <v>0.62715494298963914</v>
      </c>
      <c r="H213" s="155">
        <f>SUM(H214:H228)</f>
        <v>2.9021139875899142</v>
      </c>
      <c r="I213" s="156">
        <f>SUM(I214:I228)</f>
        <v>1.7757282915964754</v>
      </c>
      <c r="J213" s="153">
        <f t="shared" si="101"/>
        <v>6.9956320996138448</v>
      </c>
      <c r="K213" s="154">
        <f t="shared" ref="K213:P213" si="123">SUM(K214:K228)</f>
        <v>3.7510716046729584</v>
      </c>
      <c r="L213" s="155">
        <f t="shared" si="123"/>
        <v>2.4089815965328545</v>
      </c>
      <c r="M213" s="155">
        <f t="shared" si="123"/>
        <v>0.83557889840803212</v>
      </c>
      <c r="N213" s="151">
        <f t="shared" si="123"/>
        <v>0</v>
      </c>
      <c r="O213" s="152">
        <f t="shared" si="123"/>
        <v>0</v>
      </c>
      <c r="P213" s="153">
        <f t="shared" si="123"/>
        <v>4.9582062053806164E-2</v>
      </c>
      <c r="Q213" s="316"/>
      <c r="R213" s="317"/>
    </row>
    <row r="214" spans="2:18" s="1" customFormat="1" x14ac:dyDescent="0.25">
      <c r="B214" s="258" t="s">
        <v>519</v>
      </c>
      <c r="C214" s="259" t="s">
        <v>364</v>
      </c>
      <c r="D214" s="326">
        <v>3.4861499999999999</v>
      </c>
      <c r="E214" s="404">
        <f t="shared" ref="E214:E229" si="124">IFERROR($D214*E$237/100, 0)</f>
        <v>0.18663667955776447</v>
      </c>
      <c r="F214" s="205">
        <f t="shared" si="105"/>
        <v>1.4172963081730856</v>
      </c>
      <c r="G214" s="209">
        <f t="shared" ref="G214:I229" si="125">IFERROR($D214*G$237/100, 0)</f>
        <v>0.1675522810146014</v>
      </c>
      <c r="H214" s="210">
        <f t="shared" si="125"/>
        <v>0.77533602153735048</v>
      </c>
      <c r="I214" s="211">
        <f t="shared" si="125"/>
        <v>0.47440800562113383</v>
      </c>
      <c r="J214" s="205">
        <f t="shared" si="101"/>
        <v>1.8689705447296916</v>
      </c>
      <c r="K214" s="209">
        <f t="shared" ref="K214:P223" si="126">IFERROR($D214*K$237/100, 0)</f>
        <v>1.002145658959493</v>
      </c>
      <c r="L214" s="210">
        <f t="shared" si="126"/>
        <v>0.64358954024531057</v>
      </c>
      <c r="M214" s="210">
        <f t="shared" si="126"/>
        <v>0.22323534552488822</v>
      </c>
      <c r="N214" s="207">
        <f t="shared" si="126"/>
        <v>0</v>
      </c>
      <c r="O214" s="208">
        <f t="shared" si="126"/>
        <v>0</v>
      </c>
      <c r="P214" s="205">
        <f t="shared" si="126"/>
        <v>1.3246467539457754E-2</v>
      </c>
      <c r="Q214" s="327"/>
      <c r="R214" s="328"/>
    </row>
    <row r="215" spans="2:18" s="1" customFormat="1" x14ac:dyDescent="0.25">
      <c r="B215" s="258" t="s">
        <v>520</v>
      </c>
      <c r="C215" s="259" t="s">
        <v>366</v>
      </c>
      <c r="D215" s="326">
        <v>1.6E-2</v>
      </c>
      <c r="E215" s="404">
        <f t="shared" si="124"/>
        <v>8.5658588211185165E-4</v>
      </c>
      <c r="F215" s="205">
        <f t="shared" si="105"/>
        <v>6.5048092970094147E-3</v>
      </c>
      <c r="G215" s="209">
        <f t="shared" si="125"/>
        <v>7.6899631290495887E-4</v>
      </c>
      <c r="H215" s="210">
        <f t="shared" si="125"/>
        <v>3.5584746337930405E-3</v>
      </c>
      <c r="I215" s="211">
        <f t="shared" si="125"/>
        <v>2.1773383503114153E-3</v>
      </c>
      <c r="J215" s="205">
        <f t="shared" si="101"/>
        <v>8.5778089628028263E-3</v>
      </c>
      <c r="K215" s="209">
        <f t="shared" si="126"/>
        <v>4.5994379310562916E-3</v>
      </c>
      <c r="L215" s="210">
        <f t="shared" si="126"/>
        <v>2.9538122696742743E-3</v>
      </c>
      <c r="M215" s="210">
        <f t="shared" si="126"/>
        <v>1.0245587620722606E-3</v>
      </c>
      <c r="N215" s="207">
        <f t="shared" si="126"/>
        <v>0</v>
      </c>
      <c r="O215" s="208">
        <f t="shared" si="126"/>
        <v>0</v>
      </c>
      <c r="P215" s="205">
        <f t="shared" si="126"/>
        <v>6.0795858075907254E-5</v>
      </c>
      <c r="Q215" s="327"/>
      <c r="R215" s="328"/>
    </row>
    <row r="216" spans="2:18" s="1" customFormat="1" x14ac:dyDescent="0.25">
      <c r="B216" s="258" t="s">
        <v>521</v>
      </c>
      <c r="C216" s="259" t="s">
        <v>368</v>
      </c>
      <c r="D216" s="326"/>
      <c r="E216" s="404">
        <f t="shared" si="124"/>
        <v>0</v>
      </c>
      <c r="F216" s="205">
        <f t="shared" si="105"/>
        <v>0</v>
      </c>
      <c r="G216" s="209">
        <f t="shared" si="125"/>
        <v>0</v>
      </c>
      <c r="H216" s="210">
        <f t="shared" si="125"/>
        <v>0</v>
      </c>
      <c r="I216" s="211">
        <f t="shared" si="125"/>
        <v>0</v>
      </c>
      <c r="J216" s="205">
        <f t="shared" si="101"/>
        <v>0</v>
      </c>
      <c r="K216" s="209">
        <f t="shared" si="126"/>
        <v>0</v>
      </c>
      <c r="L216" s="210">
        <f t="shared" si="126"/>
        <v>0</v>
      </c>
      <c r="M216" s="210">
        <f t="shared" si="126"/>
        <v>0</v>
      </c>
      <c r="N216" s="207">
        <f t="shared" si="126"/>
        <v>0</v>
      </c>
      <c r="O216" s="208">
        <f t="shared" si="126"/>
        <v>0</v>
      </c>
      <c r="P216" s="205">
        <f t="shared" si="126"/>
        <v>0</v>
      </c>
      <c r="Q216" s="327"/>
      <c r="R216" s="328"/>
    </row>
    <row r="217" spans="2:18" s="1" customFormat="1" x14ac:dyDescent="0.25">
      <c r="B217" s="258" t="s">
        <v>522</v>
      </c>
      <c r="C217" s="259" t="s">
        <v>370</v>
      </c>
      <c r="D217" s="326">
        <v>3.3173900000000001</v>
      </c>
      <c r="E217" s="404">
        <f t="shared" si="124"/>
        <v>0.1776018399661897</v>
      </c>
      <c r="F217" s="205">
        <f t="shared" si="105"/>
        <v>1.3486868321128789</v>
      </c>
      <c r="G217" s="209">
        <f t="shared" si="125"/>
        <v>0.15944129240423635</v>
      </c>
      <c r="H217" s="210">
        <f t="shared" si="125"/>
        <v>0.73780301033741835</v>
      </c>
      <c r="I217" s="211">
        <f t="shared" si="125"/>
        <v>0.45144252937122414</v>
      </c>
      <c r="J217" s="205">
        <f t="shared" si="101"/>
        <v>1.7784961046945291</v>
      </c>
      <c r="K217" s="209">
        <f t="shared" si="126"/>
        <v>0.95363308738167685</v>
      </c>
      <c r="L217" s="210">
        <f t="shared" si="126"/>
        <v>0.61243420533092119</v>
      </c>
      <c r="M217" s="210">
        <f t="shared" si="126"/>
        <v>0.21242881198193106</v>
      </c>
      <c r="N217" s="207">
        <f t="shared" si="126"/>
        <v>0</v>
      </c>
      <c r="O217" s="208">
        <f t="shared" si="126"/>
        <v>0</v>
      </c>
      <c r="P217" s="205">
        <f t="shared" si="126"/>
        <v>1.2605223226402125E-2</v>
      </c>
      <c r="Q217" s="327"/>
      <c r="R217" s="328"/>
    </row>
    <row r="218" spans="2:18" s="1" customFormat="1" x14ac:dyDescent="0.25">
      <c r="B218" s="258" t="s">
        <v>523</v>
      </c>
      <c r="C218" s="259" t="s">
        <v>372</v>
      </c>
      <c r="D218" s="326">
        <v>2.2610000000000002E-2</v>
      </c>
      <c r="E218" s="404">
        <f t="shared" si="124"/>
        <v>1.2104629246593105E-3</v>
      </c>
      <c r="F218" s="205">
        <f t="shared" si="105"/>
        <v>9.1921086378364304E-3</v>
      </c>
      <c r="G218" s="209">
        <f t="shared" si="125"/>
        <v>1.08668791467382E-3</v>
      </c>
      <c r="H218" s="210">
        <f t="shared" si="125"/>
        <v>5.0285694668787909E-3</v>
      </c>
      <c r="I218" s="211">
        <f t="shared" si="125"/>
        <v>3.0768512562838191E-3</v>
      </c>
      <c r="J218" s="205">
        <f t="shared" si="101"/>
        <v>1.2121516290560743E-2</v>
      </c>
      <c r="K218" s="209">
        <f t="shared" si="126"/>
        <v>6.4995807263239225E-3</v>
      </c>
      <c r="L218" s="210">
        <f t="shared" si="126"/>
        <v>4.1741059635834578E-3</v>
      </c>
      <c r="M218" s="210">
        <f t="shared" si="126"/>
        <v>1.4478296006533633E-3</v>
      </c>
      <c r="N218" s="207">
        <f t="shared" si="126"/>
        <v>0</v>
      </c>
      <c r="O218" s="208">
        <f t="shared" si="126"/>
        <v>0</v>
      </c>
      <c r="P218" s="205">
        <f t="shared" si="126"/>
        <v>8.591214694351645E-5</v>
      </c>
      <c r="Q218" s="327"/>
      <c r="R218" s="328"/>
    </row>
    <row r="219" spans="2:18" s="1" customFormat="1" x14ac:dyDescent="0.25">
      <c r="B219" s="258" t="s">
        <v>524</v>
      </c>
      <c r="C219" s="259" t="s">
        <v>374</v>
      </c>
      <c r="D219" s="326">
        <v>0.73216000000000003</v>
      </c>
      <c r="E219" s="404">
        <f t="shared" si="124"/>
        <v>3.9197369965438329E-2</v>
      </c>
      <c r="F219" s="205">
        <f t="shared" si="105"/>
        <v>0.29766007343115086</v>
      </c>
      <c r="G219" s="209">
        <f t="shared" si="125"/>
        <v>3.5189271278530922E-2</v>
      </c>
      <c r="H219" s="210">
        <f t="shared" si="125"/>
        <v>0.16283579924236954</v>
      </c>
      <c r="I219" s="211">
        <f t="shared" si="125"/>
        <v>9.9635002910250389E-2</v>
      </c>
      <c r="J219" s="205">
        <f t="shared" si="101"/>
        <v>0.39252053813785731</v>
      </c>
      <c r="K219" s="209">
        <f t="shared" si="126"/>
        <v>0.21047027972513591</v>
      </c>
      <c r="L219" s="210">
        <f t="shared" si="126"/>
        <v>0.13516644946029477</v>
      </c>
      <c r="M219" s="210">
        <f t="shared" si="126"/>
        <v>4.688380895242665E-2</v>
      </c>
      <c r="N219" s="207">
        <f t="shared" si="126"/>
        <v>0</v>
      </c>
      <c r="O219" s="208">
        <f t="shared" si="126"/>
        <v>0</v>
      </c>
      <c r="P219" s="205">
        <f t="shared" si="126"/>
        <v>2.7820184655535161E-3</v>
      </c>
      <c r="Q219" s="327"/>
      <c r="R219" s="328"/>
    </row>
    <row r="220" spans="2:18" s="1" customFormat="1" x14ac:dyDescent="0.25">
      <c r="B220" s="258" t="s">
        <v>525</v>
      </c>
      <c r="C220" s="259" t="s">
        <v>376</v>
      </c>
      <c r="D220" s="326"/>
      <c r="E220" s="404">
        <f t="shared" si="124"/>
        <v>0</v>
      </c>
      <c r="F220" s="205">
        <f t="shared" si="105"/>
        <v>0</v>
      </c>
      <c r="G220" s="209">
        <f t="shared" si="125"/>
        <v>0</v>
      </c>
      <c r="H220" s="210">
        <f t="shared" si="125"/>
        <v>0</v>
      </c>
      <c r="I220" s="211">
        <f t="shared" si="125"/>
        <v>0</v>
      </c>
      <c r="J220" s="205">
        <f t="shared" si="101"/>
        <v>0</v>
      </c>
      <c r="K220" s="209">
        <f t="shared" si="126"/>
        <v>0</v>
      </c>
      <c r="L220" s="210">
        <f t="shared" si="126"/>
        <v>0</v>
      </c>
      <c r="M220" s="210">
        <f t="shared" si="126"/>
        <v>0</v>
      </c>
      <c r="N220" s="207">
        <f t="shared" si="126"/>
        <v>0</v>
      </c>
      <c r="O220" s="208">
        <f t="shared" si="126"/>
        <v>0</v>
      </c>
      <c r="P220" s="205">
        <f t="shared" si="126"/>
        <v>0</v>
      </c>
      <c r="Q220" s="327"/>
      <c r="R220" s="328"/>
    </row>
    <row r="221" spans="2:18" s="1" customFormat="1" x14ac:dyDescent="0.25">
      <c r="B221" s="258" t="s">
        <v>526</v>
      </c>
      <c r="C221" s="259" t="s">
        <v>378</v>
      </c>
      <c r="D221" s="326">
        <v>0.21560000000000001</v>
      </c>
      <c r="E221" s="404">
        <f t="shared" si="124"/>
        <v>1.15424947614572E-2</v>
      </c>
      <c r="F221" s="205">
        <f t="shared" si="105"/>
        <v>8.7652305277201872E-2</v>
      </c>
      <c r="G221" s="209">
        <f t="shared" si="125"/>
        <v>1.0362225316394323E-2</v>
      </c>
      <c r="H221" s="210">
        <f t="shared" si="125"/>
        <v>4.7950445690361221E-2</v>
      </c>
      <c r="I221" s="211">
        <f t="shared" si="125"/>
        <v>2.9339634270446325E-2</v>
      </c>
      <c r="J221" s="205">
        <f t="shared" si="101"/>
        <v>0.11558597577376808</v>
      </c>
      <c r="K221" s="209">
        <f t="shared" si="126"/>
        <v>6.1977426120983531E-2</v>
      </c>
      <c r="L221" s="210">
        <f t="shared" si="126"/>
        <v>3.9802620333860846E-2</v>
      </c>
      <c r="M221" s="210">
        <f t="shared" si="126"/>
        <v>1.3805929318923714E-2</v>
      </c>
      <c r="N221" s="207">
        <f t="shared" si="126"/>
        <v>0</v>
      </c>
      <c r="O221" s="208">
        <f t="shared" si="126"/>
        <v>0</v>
      </c>
      <c r="P221" s="205">
        <f t="shared" si="126"/>
        <v>8.1922418757285039E-4</v>
      </c>
      <c r="Q221" s="327"/>
      <c r="R221" s="328"/>
    </row>
    <row r="222" spans="2:18" s="1" customFormat="1" x14ac:dyDescent="0.25">
      <c r="B222" s="258" t="s">
        <v>527</v>
      </c>
      <c r="C222" s="259" t="s">
        <v>380</v>
      </c>
      <c r="D222" s="326">
        <v>0.22056000000000001</v>
      </c>
      <c r="E222" s="404">
        <f t="shared" si="124"/>
        <v>1.1808036384911876E-2</v>
      </c>
      <c r="F222" s="205">
        <f t="shared" si="105"/>
        <v>8.9668796159274783E-2</v>
      </c>
      <c r="G222" s="209">
        <f t="shared" si="125"/>
        <v>1.0600614173394857E-2</v>
      </c>
      <c r="H222" s="210">
        <f t="shared" si="125"/>
        <v>4.9053572826837061E-2</v>
      </c>
      <c r="I222" s="211">
        <f t="shared" si="125"/>
        <v>3.0014609159042863E-2</v>
      </c>
      <c r="J222" s="205">
        <f t="shared" si="101"/>
        <v>0.11824509655223696</v>
      </c>
      <c r="K222" s="209">
        <f t="shared" si="126"/>
        <v>6.3403251879610989E-2</v>
      </c>
      <c r="L222" s="210">
        <f t="shared" si="126"/>
        <v>4.0718302137459868E-2</v>
      </c>
      <c r="M222" s="210">
        <f t="shared" si="126"/>
        <v>1.4123542535166114E-2</v>
      </c>
      <c r="N222" s="207">
        <f t="shared" si="126"/>
        <v>0</v>
      </c>
      <c r="O222" s="208">
        <f t="shared" si="126"/>
        <v>0</v>
      </c>
      <c r="P222" s="205">
        <f t="shared" si="126"/>
        <v>8.3807090357638158E-4</v>
      </c>
      <c r="Q222" s="327"/>
      <c r="R222" s="328"/>
    </row>
    <row r="223" spans="2:18" s="1" customFormat="1" x14ac:dyDescent="0.25">
      <c r="B223" s="258" t="s">
        <v>528</v>
      </c>
      <c r="C223" s="259" t="s">
        <v>382</v>
      </c>
      <c r="D223" s="326">
        <v>2.8879999999999999</v>
      </c>
      <c r="E223" s="404">
        <f t="shared" si="124"/>
        <v>0.15461375172118921</v>
      </c>
      <c r="F223" s="205">
        <f t="shared" si="105"/>
        <v>1.1741180781101992</v>
      </c>
      <c r="G223" s="209">
        <f t="shared" si="125"/>
        <v>0.13880383447934508</v>
      </c>
      <c r="H223" s="210">
        <f t="shared" si="125"/>
        <v>0.64230467139964376</v>
      </c>
      <c r="I223" s="211">
        <f t="shared" si="125"/>
        <v>0.39300957223121047</v>
      </c>
      <c r="J223" s="205">
        <f t="shared" si="101"/>
        <v>1.54829451778591</v>
      </c>
      <c r="K223" s="209">
        <f t="shared" si="126"/>
        <v>0.8301985465556605</v>
      </c>
      <c r="L223" s="210">
        <f t="shared" si="126"/>
        <v>0.53316311467620647</v>
      </c>
      <c r="M223" s="210">
        <f t="shared" si="126"/>
        <v>0.18493285655404304</v>
      </c>
      <c r="N223" s="207">
        <f t="shared" si="126"/>
        <v>0</v>
      </c>
      <c r="O223" s="208">
        <f t="shared" si="126"/>
        <v>0</v>
      </c>
      <c r="P223" s="205">
        <f t="shared" si="126"/>
        <v>1.097365238270126E-2</v>
      </c>
      <c r="Q223" s="327"/>
      <c r="R223" s="328"/>
    </row>
    <row r="224" spans="2:18" s="1" customFormat="1" x14ac:dyDescent="0.25">
      <c r="B224" s="258" t="s">
        <v>529</v>
      </c>
      <c r="C224" s="259" t="s">
        <v>384</v>
      </c>
      <c r="D224" s="326"/>
      <c r="E224" s="404">
        <f t="shared" si="124"/>
        <v>0</v>
      </c>
      <c r="F224" s="205">
        <f t="shared" si="105"/>
        <v>0</v>
      </c>
      <c r="G224" s="209">
        <f t="shared" si="125"/>
        <v>0</v>
      </c>
      <c r="H224" s="210">
        <f t="shared" si="125"/>
        <v>0</v>
      </c>
      <c r="I224" s="211">
        <f t="shared" si="125"/>
        <v>0</v>
      </c>
      <c r="J224" s="205">
        <f t="shared" si="101"/>
        <v>0</v>
      </c>
      <c r="K224" s="209">
        <f t="shared" ref="K224:P229" si="127">IFERROR($D224*K$237/100, 0)</f>
        <v>0</v>
      </c>
      <c r="L224" s="210">
        <f t="shared" si="127"/>
        <v>0</v>
      </c>
      <c r="M224" s="210">
        <f t="shared" si="127"/>
        <v>0</v>
      </c>
      <c r="N224" s="207">
        <f t="shared" si="127"/>
        <v>0</v>
      </c>
      <c r="O224" s="208">
        <f t="shared" si="127"/>
        <v>0</v>
      </c>
      <c r="P224" s="205">
        <f t="shared" si="127"/>
        <v>0</v>
      </c>
      <c r="Q224" s="327"/>
      <c r="R224" s="328"/>
    </row>
    <row r="225" spans="2:18" s="1" customFormat="1" x14ac:dyDescent="0.25">
      <c r="B225" s="258" t="s">
        <v>530</v>
      </c>
      <c r="C225" s="259" t="s">
        <v>386</v>
      </c>
      <c r="D225" s="326">
        <v>1.9410000000000001</v>
      </c>
      <c r="E225" s="404">
        <f t="shared" si="124"/>
        <v>0.103914574823694</v>
      </c>
      <c r="F225" s="205">
        <f t="shared" si="105"/>
        <v>0.78911467784345468</v>
      </c>
      <c r="G225" s="209">
        <f t="shared" si="125"/>
        <v>9.3288865209282826E-2</v>
      </c>
      <c r="H225" s="210">
        <f t="shared" si="125"/>
        <v>0.43168745401201825</v>
      </c>
      <c r="I225" s="211">
        <f t="shared" si="125"/>
        <v>0.26413835862215362</v>
      </c>
      <c r="J225" s="205">
        <f t="shared" si="101"/>
        <v>1.0405954498000178</v>
      </c>
      <c r="K225" s="209">
        <f t="shared" si="127"/>
        <v>0.55796931401126637</v>
      </c>
      <c r="L225" s="210">
        <f t="shared" si="127"/>
        <v>0.35833435096486033</v>
      </c>
      <c r="M225" s="210">
        <f t="shared" si="127"/>
        <v>0.12429178482389112</v>
      </c>
      <c r="N225" s="207">
        <f t="shared" si="127"/>
        <v>0</v>
      </c>
      <c r="O225" s="208">
        <f t="shared" si="127"/>
        <v>0</v>
      </c>
      <c r="P225" s="205">
        <f t="shared" si="127"/>
        <v>7.375297532833499E-3</v>
      </c>
      <c r="Q225" s="327"/>
      <c r="R225" s="328"/>
    </row>
    <row r="226" spans="2:18" s="1" customFormat="1" x14ac:dyDescent="0.25">
      <c r="B226" s="258" t="s">
        <v>531</v>
      </c>
      <c r="C226" s="259" t="s">
        <v>388</v>
      </c>
      <c r="D226" s="326"/>
      <c r="E226" s="404">
        <f t="shared" si="124"/>
        <v>0</v>
      </c>
      <c r="F226" s="205">
        <f t="shared" si="105"/>
        <v>0</v>
      </c>
      <c r="G226" s="209">
        <f t="shared" si="125"/>
        <v>0</v>
      </c>
      <c r="H226" s="210">
        <f t="shared" si="125"/>
        <v>0</v>
      </c>
      <c r="I226" s="211">
        <f t="shared" si="125"/>
        <v>0</v>
      </c>
      <c r="J226" s="205">
        <f t="shared" si="101"/>
        <v>0</v>
      </c>
      <c r="K226" s="209">
        <f t="shared" si="127"/>
        <v>0</v>
      </c>
      <c r="L226" s="210">
        <f t="shared" si="127"/>
        <v>0</v>
      </c>
      <c r="M226" s="210">
        <f t="shared" si="127"/>
        <v>0</v>
      </c>
      <c r="N226" s="207">
        <f t="shared" si="127"/>
        <v>0</v>
      </c>
      <c r="O226" s="208">
        <f t="shared" si="127"/>
        <v>0</v>
      </c>
      <c r="P226" s="205">
        <f t="shared" si="127"/>
        <v>0</v>
      </c>
      <c r="Q226" s="327"/>
      <c r="R226" s="328"/>
    </row>
    <row r="227" spans="2:18" s="1" customFormat="1" x14ac:dyDescent="0.25">
      <c r="B227" s="261" t="s">
        <v>532</v>
      </c>
      <c r="C227" s="249" t="s">
        <v>533</v>
      </c>
      <c r="D227" s="326"/>
      <c r="E227" s="404">
        <f t="shared" si="124"/>
        <v>0</v>
      </c>
      <c r="F227" s="205">
        <f t="shared" si="105"/>
        <v>0</v>
      </c>
      <c r="G227" s="209">
        <f t="shared" si="125"/>
        <v>0</v>
      </c>
      <c r="H227" s="210">
        <f t="shared" si="125"/>
        <v>0</v>
      </c>
      <c r="I227" s="211">
        <f t="shared" si="125"/>
        <v>0</v>
      </c>
      <c r="J227" s="205">
        <f t="shared" si="101"/>
        <v>0</v>
      </c>
      <c r="K227" s="209">
        <f t="shared" si="127"/>
        <v>0</v>
      </c>
      <c r="L227" s="210">
        <f t="shared" si="127"/>
        <v>0</v>
      </c>
      <c r="M227" s="210">
        <f t="shared" si="127"/>
        <v>0</v>
      </c>
      <c r="N227" s="207">
        <f t="shared" si="127"/>
        <v>0</v>
      </c>
      <c r="O227" s="208">
        <f t="shared" si="127"/>
        <v>0</v>
      </c>
      <c r="P227" s="205">
        <f t="shared" si="127"/>
        <v>0</v>
      </c>
      <c r="Q227" s="327"/>
      <c r="R227" s="328"/>
    </row>
    <row r="228" spans="2:18" s="1" customFormat="1" ht="15.75" thickBot="1" x14ac:dyDescent="0.3">
      <c r="B228" s="281" t="s">
        <v>534</v>
      </c>
      <c r="C228" s="282" t="s">
        <v>390</v>
      </c>
      <c r="D228" s="326">
        <v>0.20932999999999999</v>
      </c>
      <c r="E228" s="404">
        <f t="shared" si="124"/>
        <v>1.1206820168904619E-2</v>
      </c>
      <c r="F228" s="205">
        <f t="shared" si="105"/>
        <v>8.5103233133936293E-2</v>
      </c>
      <c r="G228" s="209">
        <f t="shared" si="125"/>
        <v>1.0060874886274688E-2</v>
      </c>
      <c r="H228" s="210">
        <f t="shared" si="125"/>
        <v>4.655596844324357E-2</v>
      </c>
      <c r="I228" s="211">
        <f t="shared" si="125"/>
        <v>2.8486389804418037E-2</v>
      </c>
      <c r="J228" s="205">
        <f t="shared" si="101"/>
        <v>0.11222454688646973</v>
      </c>
      <c r="K228" s="209">
        <f t="shared" si="127"/>
        <v>6.0175021381750841E-2</v>
      </c>
      <c r="L228" s="210">
        <f t="shared" si="127"/>
        <v>3.8645095150682235E-2</v>
      </c>
      <c r="M228" s="210">
        <f t="shared" si="127"/>
        <v>1.3404430354036646E-2</v>
      </c>
      <c r="N228" s="207">
        <f t="shared" si="127"/>
        <v>0</v>
      </c>
      <c r="O228" s="208">
        <f t="shared" si="127"/>
        <v>0</v>
      </c>
      <c r="P228" s="205">
        <f t="shared" si="127"/>
        <v>7.953998106893541E-4</v>
      </c>
      <c r="Q228" s="327"/>
      <c r="R228" s="328"/>
    </row>
    <row r="229" spans="2:18" s="4" customFormat="1" ht="15.75" thickBot="1" x14ac:dyDescent="0.3">
      <c r="B229" s="149" t="s">
        <v>187</v>
      </c>
      <c r="C229" s="203" t="s">
        <v>392</v>
      </c>
      <c r="D229" s="410"/>
      <c r="E229" s="403">
        <f t="shared" si="124"/>
        <v>0</v>
      </c>
      <c r="F229" s="153">
        <f t="shared" si="105"/>
        <v>0</v>
      </c>
      <c r="G229" s="154">
        <f t="shared" si="125"/>
        <v>0</v>
      </c>
      <c r="H229" s="155">
        <f t="shared" si="125"/>
        <v>0</v>
      </c>
      <c r="I229" s="156">
        <f t="shared" si="125"/>
        <v>0</v>
      </c>
      <c r="J229" s="153">
        <f t="shared" si="101"/>
        <v>0</v>
      </c>
      <c r="K229" s="154">
        <f t="shared" si="127"/>
        <v>0</v>
      </c>
      <c r="L229" s="155">
        <f t="shared" si="127"/>
        <v>0</v>
      </c>
      <c r="M229" s="155">
        <f t="shared" si="127"/>
        <v>0</v>
      </c>
      <c r="N229" s="151">
        <f t="shared" si="127"/>
        <v>0</v>
      </c>
      <c r="O229" s="411">
        <f t="shared" si="127"/>
        <v>0</v>
      </c>
      <c r="P229" s="153">
        <f t="shared" si="127"/>
        <v>0</v>
      </c>
      <c r="Q229" s="316"/>
      <c r="R229" s="317"/>
    </row>
    <row r="230" spans="2:18" s="4" customFormat="1" x14ac:dyDescent="0.25">
      <c r="B230" s="149" t="s">
        <v>189</v>
      </c>
      <c r="C230" s="203" t="s">
        <v>394</v>
      </c>
      <c r="D230" s="329">
        <f>SUM(D231:D235)</f>
        <v>4.6727499999999997</v>
      </c>
      <c r="E230" s="403">
        <f>SUM(E231:E235)</f>
        <v>0.25016323003988467</v>
      </c>
      <c r="F230" s="153">
        <f t="shared" si="105"/>
        <v>1.8997092276625462</v>
      </c>
      <c r="G230" s="154">
        <f>SUM(G231:G235)</f>
        <v>0.22458297007041542</v>
      </c>
      <c r="H230" s="155">
        <f>SUM(H231:H235)</f>
        <v>1.0392413965660268</v>
      </c>
      <c r="I230" s="156">
        <f>SUM(I231:I235)</f>
        <v>0.6358848610261042</v>
      </c>
      <c r="J230" s="153">
        <f t="shared" si="101"/>
        <v>2.5051223019335565</v>
      </c>
      <c r="K230" s="154">
        <f t="shared" ref="K230:P230" si="128">SUM(K231:K235)</f>
        <v>1.3432514745214552</v>
      </c>
      <c r="L230" s="155">
        <f t="shared" si="128"/>
        <v>0.86265164269502892</v>
      </c>
      <c r="M230" s="155">
        <f t="shared" si="128"/>
        <v>0.29921918471707226</v>
      </c>
      <c r="N230" s="151">
        <f t="shared" si="128"/>
        <v>0</v>
      </c>
      <c r="O230" s="152">
        <f t="shared" si="128"/>
        <v>0</v>
      </c>
      <c r="P230" s="153">
        <f t="shared" si="128"/>
        <v>1.7755240364012225E-2</v>
      </c>
      <c r="Q230" s="316"/>
      <c r="R230" s="317"/>
    </row>
    <row r="231" spans="2:18" s="1" customFormat="1" x14ac:dyDescent="0.25">
      <c r="B231" s="166" t="s">
        <v>535</v>
      </c>
      <c r="C231" s="347" t="s">
        <v>396</v>
      </c>
      <c r="D231" s="326"/>
      <c r="E231" s="404">
        <f>IFERROR($D231*E$237/100, 0)</f>
        <v>0</v>
      </c>
      <c r="F231" s="205">
        <f t="shared" si="105"/>
        <v>0</v>
      </c>
      <c r="G231" s="209">
        <f t="shared" ref="G231:I235" si="129">IFERROR($D231*G$237/100, 0)</f>
        <v>0</v>
      </c>
      <c r="H231" s="210">
        <f t="shared" si="129"/>
        <v>0</v>
      </c>
      <c r="I231" s="211">
        <f t="shared" si="129"/>
        <v>0</v>
      </c>
      <c r="J231" s="205">
        <f t="shared" si="101"/>
        <v>0</v>
      </c>
      <c r="K231" s="209">
        <f t="shared" ref="K231:P235" si="130">IFERROR($D231*K$237/100, 0)</f>
        <v>0</v>
      </c>
      <c r="L231" s="210">
        <f t="shared" si="130"/>
        <v>0</v>
      </c>
      <c r="M231" s="210">
        <f t="shared" si="130"/>
        <v>0</v>
      </c>
      <c r="N231" s="207">
        <f t="shared" si="130"/>
        <v>0</v>
      </c>
      <c r="O231" s="208">
        <f t="shared" si="130"/>
        <v>0</v>
      </c>
      <c r="P231" s="205">
        <f t="shared" si="130"/>
        <v>0</v>
      </c>
      <c r="Q231" s="327"/>
      <c r="R231" s="328"/>
    </row>
    <row r="232" spans="2:18" s="1" customFormat="1" x14ac:dyDescent="0.25">
      <c r="B232" s="166" t="s">
        <v>536</v>
      </c>
      <c r="C232" s="347" t="s">
        <v>450</v>
      </c>
      <c r="D232" s="326"/>
      <c r="E232" s="404">
        <f>IFERROR($D232*E$237/100, 0)</f>
        <v>0</v>
      </c>
      <c r="F232" s="205">
        <f t="shared" si="105"/>
        <v>0</v>
      </c>
      <c r="G232" s="209">
        <f t="shared" si="129"/>
        <v>0</v>
      </c>
      <c r="H232" s="210">
        <f t="shared" si="129"/>
        <v>0</v>
      </c>
      <c r="I232" s="211">
        <f t="shared" si="129"/>
        <v>0</v>
      </c>
      <c r="J232" s="205">
        <f t="shared" si="101"/>
        <v>0</v>
      </c>
      <c r="K232" s="209">
        <f t="shared" si="130"/>
        <v>0</v>
      </c>
      <c r="L232" s="210">
        <f t="shared" si="130"/>
        <v>0</v>
      </c>
      <c r="M232" s="210">
        <f t="shared" si="130"/>
        <v>0</v>
      </c>
      <c r="N232" s="207">
        <f t="shared" si="130"/>
        <v>0</v>
      </c>
      <c r="O232" s="208">
        <f t="shared" si="130"/>
        <v>0</v>
      </c>
      <c r="P232" s="205">
        <f t="shared" si="130"/>
        <v>0</v>
      </c>
      <c r="Q232" s="327"/>
      <c r="R232" s="328"/>
    </row>
    <row r="233" spans="2:18" s="1" customFormat="1" x14ac:dyDescent="0.25">
      <c r="B233" s="258" t="s">
        <v>537</v>
      </c>
      <c r="C233" s="259" t="s">
        <v>400</v>
      </c>
      <c r="D233" s="326"/>
      <c r="E233" s="404">
        <f>IFERROR($D233*E$237/100, 0)</f>
        <v>0</v>
      </c>
      <c r="F233" s="205">
        <f t="shared" si="105"/>
        <v>0</v>
      </c>
      <c r="G233" s="209">
        <f t="shared" si="129"/>
        <v>0</v>
      </c>
      <c r="H233" s="210">
        <f t="shared" si="129"/>
        <v>0</v>
      </c>
      <c r="I233" s="211">
        <f t="shared" si="129"/>
        <v>0</v>
      </c>
      <c r="J233" s="205">
        <f t="shared" si="101"/>
        <v>0</v>
      </c>
      <c r="K233" s="209">
        <f t="shared" si="130"/>
        <v>0</v>
      </c>
      <c r="L233" s="210">
        <f t="shared" si="130"/>
        <v>0</v>
      </c>
      <c r="M233" s="210">
        <f t="shared" si="130"/>
        <v>0</v>
      </c>
      <c r="N233" s="207">
        <f t="shared" si="130"/>
        <v>0</v>
      </c>
      <c r="O233" s="208">
        <f t="shared" si="130"/>
        <v>0</v>
      </c>
      <c r="P233" s="205">
        <f t="shared" si="130"/>
        <v>0</v>
      </c>
      <c r="Q233" s="327"/>
      <c r="R233" s="328"/>
    </row>
    <row r="234" spans="2:18" s="1" customFormat="1" x14ac:dyDescent="0.25">
      <c r="B234" s="258" t="s">
        <v>538</v>
      </c>
      <c r="C234" s="249" t="s">
        <v>402</v>
      </c>
      <c r="D234" s="333">
        <v>4.6727499999999997</v>
      </c>
      <c r="E234" s="412">
        <f>IFERROR($D234*E$237/100, 0)</f>
        <v>0.25016323003988467</v>
      </c>
      <c r="F234" s="215">
        <f t="shared" si="105"/>
        <v>1.8997092276625462</v>
      </c>
      <c r="G234" s="216">
        <f t="shared" si="129"/>
        <v>0.22458297007041542</v>
      </c>
      <c r="H234" s="217">
        <f t="shared" si="129"/>
        <v>1.0392413965660268</v>
      </c>
      <c r="I234" s="218">
        <f t="shared" si="129"/>
        <v>0.6358848610261042</v>
      </c>
      <c r="J234" s="215">
        <f t="shared" si="101"/>
        <v>2.5051223019335565</v>
      </c>
      <c r="K234" s="216">
        <f t="shared" si="130"/>
        <v>1.3432514745214552</v>
      </c>
      <c r="L234" s="217">
        <f t="shared" si="130"/>
        <v>0.86265164269502892</v>
      </c>
      <c r="M234" s="217">
        <f t="shared" si="130"/>
        <v>0.29921918471707226</v>
      </c>
      <c r="N234" s="213">
        <f t="shared" si="130"/>
        <v>0</v>
      </c>
      <c r="O234" s="214">
        <f t="shared" si="130"/>
        <v>0</v>
      </c>
      <c r="P234" s="215">
        <f t="shared" si="130"/>
        <v>1.7755240364012225E-2</v>
      </c>
      <c r="Q234" s="327"/>
      <c r="R234" s="328"/>
    </row>
    <row r="235" spans="2:18" s="1" customFormat="1" ht="15.75" thickBot="1" x14ac:dyDescent="0.3">
      <c r="B235" s="258" t="s">
        <v>539</v>
      </c>
      <c r="C235" s="249" t="s">
        <v>394</v>
      </c>
      <c r="D235" s="333"/>
      <c r="E235" s="412">
        <f>IFERROR($D235*E$237/100, 0)</f>
        <v>0</v>
      </c>
      <c r="F235" s="215">
        <f t="shared" si="105"/>
        <v>0</v>
      </c>
      <c r="G235" s="216">
        <f t="shared" si="129"/>
        <v>0</v>
      </c>
      <c r="H235" s="217">
        <f t="shared" si="129"/>
        <v>0</v>
      </c>
      <c r="I235" s="218">
        <f t="shared" si="129"/>
        <v>0</v>
      </c>
      <c r="J235" s="215">
        <f t="shared" si="101"/>
        <v>0</v>
      </c>
      <c r="K235" s="216">
        <f t="shared" si="130"/>
        <v>0</v>
      </c>
      <c r="L235" s="217">
        <f t="shared" si="130"/>
        <v>0</v>
      </c>
      <c r="M235" s="217">
        <f t="shared" si="130"/>
        <v>0</v>
      </c>
      <c r="N235" s="213">
        <f t="shared" si="130"/>
        <v>0</v>
      </c>
      <c r="O235" s="214">
        <f t="shared" si="130"/>
        <v>0</v>
      </c>
      <c r="P235" s="215">
        <f t="shared" si="130"/>
        <v>0</v>
      </c>
      <c r="Q235" s="327"/>
      <c r="R235" s="328"/>
    </row>
    <row r="236" spans="2:18" s="1" customFormat="1" ht="116.25" customHeight="1" thickBot="1" x14ac:dyDescent="0.3">
      <c r="B236" s="123" t="s">
        <v>79</v>
      </c>
      <c r="C236" s="124" t="s">
        <v>540</v>
      </c>
      <c r="D236" s="124" t="s">
        <v>457</v>
      </c>
      <c r="E236" s="125" t="s">
        <v>256</v>
      </c>
      <c r="F236" s="126" t="s">
        <v>257</v>
      </c>
      <c r="G236" s="127" t="s">
        <v>258</v>
      </c>
      <c r="H236" s="128" t="s">
        <v>259</v>
      </c>
      <c r="I236" s="129" t="s">
        <v>260</v>
      </c>
      <c r="J236" s="130" t="s">
        <v>261</v>
      </c>
      <c r="K236" s="127" t="s">
        <v>262</v>
      </c>
      <c r="L236" s="128" t="s">
        <v>263</v>
      </c>
      <c r="M236" s="129" t="s">
        <v>264</v>
      </c>
      <c r="N236" s="132" t="s">
        <v>265</v>
      </c>
      <c r="O236" s="125" t="s">
        <v>458</v>
      </c>
      <c r="P236" s="126" t="s">
        <v>459</v>
      </c>
      <c r="Q236" s="327"/>
      <c r="R236" s="328"/>
    </row>
    <row r="237" spans="2:18" s="1" customFormat="1" ht="38.25" customHeight="1" x14ac:dyDescent="0.25">
      <c r="B237" s="159" t="s">
        <v>212</v>
      </c>
      <c r="C237" s="347" t="s">
        <v>541</v>
      </c>
      <c r="D237" s="143">
        <f>ROUND((E237+F237+J237+N237+O237+P237),1)</f>
        <v>100</v>
      </c>
      <c r="E237" s="144">
        <f>IFERROR((E25+E26)/($D$25+$D$26)*100, 0)</f>
        <v>5.3536617631990726</v>
      </c>
      <c r="F237" s="145">
        <f>SUM(G237:I237)</f>
        <v>40.655058106308843</v>
      </c>
      <c r="G237" s="146">
        <f>IFERROR((G25+G26)/($D$25+$D$26)*100, 0)</f>
        <v>4.8062269556559931</v>
      </c>
      <c r="H237" s="147">
        <f>IFERROR((H25+H26)/($D$25+$D$26)*100, 0)</f>
        <v>22.240466461206502</v>
      </c>
      <c r="I237" s="148">
        <f>IFERROR((I25+I26)/($D$25+$D$26)*100, 0)</f>
        <v>13.608364689446347</v>
      </c>
      <c r="J237" s="145">
        <f>SUM(K237:M237)</f>
        <v>53.611306017517663</v>
      </c>
      <c r="K237" s="146">
        <f t="shared" ref="K237:P237" si="131">IFERROR((K25+K26)/($D$25+$D$26)*100, 0)</f>
        <v>28.746487069101821</v>
      </c>
      <c r="L237" s="147">
        <f t="shared" si="131"/>
        <v>18.461326685464211</v>
      </c>
      <c r="M237" s="147">
        <f t="shared" si="131"/>
        <v>6.4034922629516293</v>
      </c>
      <c r="N237" s="143">
        <f t="shared" si="131"/>
        <v>0</v>
      </c>
      <c r="O237" s="144">
        <f t="shared" si="131"/>
        <v>0</v>
      </c>
      <c r="P237" s="145">
        <f t="shared" si="131"/>
        <v>0.37997411297442035</v>
      </c>
      <c r="Q237" s="327"/>
      <c r="R237" s="328"/>
    </row>
    <row r="238" spans="2:18" s="1" customFormat="1" ht="33.75" customHeight="1" thickBot="1" x14ac:dyDescent="0.3">
      <c r="B238" s="283" t="s">
        <v>214</v>
      </c>
      <c r="C238" s="413" t="s">
        <v>542</v>
      </c>
      <c r="D238" s="414">
        <f>ROUND((E238+F238+J238+N238+O238+P238),1)</f>
        <v>100</v>
      </c>
      <c r="E238" s="415">
        <f>VAS075_F_Verslovienetui22ApskaitosVeikla</f>
        <v>0</v>
      </c>
      <c r="F238" s="416">
        <f>SUM(G238:I238)</f>
        <v>43.35</v>
      </c>
      <c r="G238" s="417">
        <f>VAS075_F_Verslovienetui231GeriamojoVandens</f>
        <v>3</v>
      </c>
      <c r="H238" s="418">
        <f>VAS075_F_Verslovienetui232GeriamojoVandens</f>
        <v>9.9800000000000022</v>
      </c>
      <c r="I238" s="419">
        <f>VAS075_F_Verslovienetui233GeriamojoVandens</f>
        <v>30.37</v>
      </c>
      <c r="J238" s="416">
        <f>SUM(K238:M238)</f>
        <v>56.650000000000006</v>
      </c>
      <c r="K238" s="417">
        <f>VAS075_F_Verslovienetui241NuotekuSurinkimas</f>
        <v>55.490000000000009</v>
      </c>
      <c r="L238" s="418">
        <f>VAS075_F_Verslovienetui242NuotekuValymas</f>
        <v>0.96999999999999986</v>
      </c>
      <c r="M238" s="418">
        <f>VAS075_F_Verslovienetui243NuotekuDumblo</f>
        <v>0.19000000000000003</v>
      </c>
      <c r="N238" s="414">
        <f>VAS075_F_Verslovienetui25PavirsiniuNuoteku</f>
        <v>0</v>
      </c>
      <c r="O238" s="415">
        <f>VAS075_F_Verslovienetui26KitosReguliuojamosios</f>
        <v>0</v>
      </c>
      <c r="P238" s="416">
        <f>VAS075_F_Verslovienetui27KitosVeiklos</f>
        <v>0</v>
      </c>
      <c r="Q238" s="327"/>
      <c r="R238" s="328"/>
    </row>
    <row r="239" spans="2:18" s="1" customFormat="1" x14ac:dyDescent="0.25">
      <c r="Q239" s="327"/>
      <c r="R239" s="328"/>
    </row>
    <row r="240" spans="2:18" s="1" customFormat="1" x14ac:dyDescent="0.25">
      <c r="C240" s="420" t="s">
        <v>543</v>
      </c>
    </row>
    <row r="241" spans="3:3" s="1" customFormat="1" x14ac:dyDescent="0.25">
      <c r="C241" s="421" t="s">
        <v>544</v>
      </c>
    </row>
  </sheetData>
  <sheetProtection algorithmName="SHA-512" hashValue="7eaacH3fj84nOxTVXBW1EsAZ3IUpuS73biK61fWDO/Ks4UuTTWfPYh1nq0lgReOn2PyomRa6qrCGwwHjSAXE8w==" saltValue="AcGIVV3HJR7jOLuiorop+zOEW03om0lmhS+zO3YxGupbPIzKU/7WQnJOIwy7ii2ukP8ItRa5QicEdWVMe3h9BQ==" spinCount="100000"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topLeftCell="A31" zoomScale="93" zoomScaleNormal="93" workbookViewId="0">
      <selection activeCell="H52" sqref="H52"/>
    </sheetView>
  </sheetViews>
  <sheetFormatPr defaultColWidth="9.140625" defaultRowHeight="15" x14ac:dyDescent="0.25"/>
  <cols>
    <col min="1" max="2" width="9.140625" style="422"/>
    <col min="3" max="3" width="51.5703125" style="422" customWidth="1"/>
    <col min="4" max="4" width="22.5703125" style="423" customWidth="1"/>
    <col min="5" max="5" width="22.7109375" style="422" customWidth="1"/>
    <col min="6" max="6" width="35.85546875" style="422" customWidth="1"/>
    <col min="7" max="16384" width="9.140625" style="422"/>
  </cols>
  <sheetData>
    <row r="1" spans="1:5" s="1" customFormat="1" x14ac:dyDescent="0.25">
      <c r="A1" s="1397" t="s">
        <v>0</v>
      </c>
      <c r="B1" s="1398"/>
      <c r="C1" s="1398"/>
      <c r="D1" s="1398"/>
      <c r="E1" s="1399"/>
    </row>
    <row r="2" spans="1:5" s="1" customFormat="1" x14ac:dyDescent="0.25">
      <c r="A2" s="1397" t="s">
        <v>1</v>
      </c>
      <c r="B2" s="1398"/>
      <c r="C2" s="1398"/>
      <c r="D2" s="1398"/>
      <c r="E2" s="1399"/>
    </row>
    <row r="3" spans="1:5" s="1" customFormat="1" x14ac:dyDescent="0.25">
      <c r="A3" s="1400"/>
      <c r="B3" s="1401"/>
      <c r="C3" s="1401"/>
      <c r="D3" s="1401"/>
      <c r="E3" s="1402"/>
    </row>
    <row r="4" spans="1:5" s="1" customFormat="1" x14ac:dyDescent="0.25">
      <c r="A4" s="424"/>
      <c r="B4" s="424"/>
      <c r="C4" s="424"/>
      <c r="D4" s="425"/>
      <c r="E4" s="424"/>
    </row>
    <row r="5" spans="1:5" s="1" customFormat="1" x14ac:dyDescent="0.25">
      <c r="A5" s="1403" t="s">
        <v>545</v>
      </c>
      <c r="B5" s="1404"/>
      <c r="C5" s="1404"/>
      <c r="D5" s="1404"/>
      <c r="E5" s="1405"/>
    </row>
    <row r="6" spans="1:5" s="1" customFormat="1" x14ac:dyDescent="0.25">
      <c r="A6" s="1394" t="s">
        <v>546</v>
      </c>
      <c r="B6" s="1395"/>
      <c r="C6" s="1395"/>
      <c r="D6" s="1396"/>
      <c r="E6" s="1395"/>
    </row>
    <row r="7" spans="1:5" s="1" customFormat="1" x14ac:dyDescent="0.25">
      <c r="A7" s="1395"/>
      <c r="B7" s="1395"/>
      <c r="C7" s="1395"/>
      <c r="D7" s="1396"/>
      <c r="E7" s="1395"/>
    </row>
    <row r="8" spans="1:5" s="1" customFormat="1" x14ac:dyDescent="0.25">
      <c r="A8" s="424"/>
      <c r="B8" s="424"/>
      <c r="C8" s="424"/>
      <c r="D8" s="425"/>
      <c r="E8" s="424"/>
    </row>
    <row r="9" spans="1:5" s="1" customFormat="1" ht="35.25" customHeight="1" thickBot="1" x14ac:dyDescent="0.3">
      <c r="B9" s="1393" t="s">
        <v>547</v>
      </c>
      <c r="C9" s="1393"/>
      <c r="D9" s="1393"/>
      <c r="E9" s="1393"/>
    </row>
    <row r="10" spans="1:5" s="1" customFormat="1" ht="24.75" customHeight="1" thickBot="1" x14ac:dyDescent="0.3">
      <c r="B10" s="426" t="s">
        <v>4</v>
      </c>
      <c r="C10" s="427" t="s">
        <v>92</v>
      </c>
      <c r="D10" s="428" t="s">
        <v>49</v>
      </c>
      <c r="E10" s="429" t="s">
        <v>93</v>
      </c>
    </row>
    <row r="11" spans="1:5" s="1" customFormat="1" ht="41.25" customHeight="1" thickTop="1" thickBot="1" x14ac:dyDescent="0.3">
      <c r="B11" s="430" t="s">
        <v>548</v>
      </c>
      <c r="C11" s="431" t="s">
        <v>549</v>
      </c>
      <c r="D11" s="432">
        <f>VAS071_F_Ilgalaikisturt1AtaskaitinisLaikotarpis</f>
        <v>10318.805</v>
      </c>
      <c r="E11" s="433" t="s">
        <v>550</v>
      </c>
    </row>
    <row r="12" spans="1:5" s="1" customFormat="1" ht="46.5" customHeight="1" thickTop="1" thickBot="1" x14ac:dyDescent="0.3">
      <c r="B12" s="430" t="s">
        <v>51</v>
      </c>
      <c r="C12" s="431" t="s">
        <v>551</v>
      </c>
      <c r="D12" s="432">
        <f>SUM(D13:D14)+D18+D19</f>
        <v>1147.116681</v>
      </c>
      <c r="E12" s="433" t="s">
        <v>552</v>
      </c>
    </row>
    <row r="13" spans="1:5" s="1" customFormat="1" ht="41.25" customHeight="1" thickTop="1" x14ac:dyDescent="0.25">
      <c r="B13" s="434" t="s">
        <v>96</v>
      </c>
      <c r="C13" s="435" t="s">
        <v>553</v>
      </c>
      <c r="D13" s="436">
        <f>VAS076_F_Paskirstomasil23IsViso</f>
        <v>435.17779685699998</v>
      </c>
      <c r="E13" s="437" t="s">
        <v>552</v>
      </c>
    </row>
    <row r="14" spans="1:5" s="1" customFormat="1" ht="40.5" customHeight="1" x14ac:dyDescent="0.25">
      <c r="B14" s="438" t="s">
        <v>102</v>
      </c>
      <c r="C14" s="439" t="s">
        <v>554</v>
      </c>
      <c r="D14" s="440">
        <f>VAS076_F_Paskirstomasil24IsViso</f>
        <v>711.938884143</v>
      </c>
      <c r="E14" s="441" t="s">
        <v>552</v>
      </c>
    </row>
    <row r="15" spans="1:5" s="1" customFormat="1" ht="40.5" customHeight="1" x14ac:dyDescent="0.25">
      <c r="B15" s="438" t="s">
        <v>104</v>
      </c>
      <c r="C15" s="439" t="s">
        <v>555</v>
      </c>
      <c r="D15" s="440">
        <f>VAS076_F_Paskirstomasil241NuotekuSurinkimas</f>
        <v>689.24521694700002</v>
      </c>
      <c r="E15" s="441" t="s">
        <v>552</v>
      </c>
    </row>
    <row r="16" spans="1:5" s="1" customFormat="1" ht="36.75" customHeight="1" x14ac:dyDescent="0.25">
      <c r="B16" s="438" t="s">
        <v>110</v>
      </c>
      <c r="C16" s="439" t="s">
        <v>556</v>
      </c>
      <c r="D16" s="440">
        <f>VAS076_F_Paskirstomasil242NuotekuValymas</f>
        <v>18.640232051000002</v>
      </c>
      <c r="E16" s="441" t="s">
        <v>552</v>
      </c>
    </row>
    <row r="17" spans="2:5" s="1" customFormat="1" ht="34.5" customHeight="1" x14ac:dyDescent="0.25">
      <c r="B17" s="438" t="s">
        <v>117</v>
      </c>
      <c r="C17" s="439" t="s">
        <v>557</v>
      </c>
      <c r="D17" s="440">
        <f>VAS076_F_Paskirstomasil243NuotekuDumblo</f>
        <v>4.0534351449999999</v>
      </c>
      <c r="E17" s="441" t="s">
        <v>552</v>
      </c>
    </row>
    <row r="18" spans="2:5" s="1" customFormat="1" ht="31.5" customHeight="1" x14ac:dyDescent="0.25">
      <c r="B18" s="442" t="s">
        <v>124</v>
      </c>
      <c r="C18" s="439" t="s">
        <v>558</v>
      </c>
      <c r="D18" s="440">
        <f>VAS076_F_Paskirstomasil25PavirsiniuNuoteku</f>
        <v>0</v>
      </c>
      <c r="E18" s="441" t="s">
        <v>552</v>
      </c>
    </row>
    <row r="19" spans="2:5" s="1" customFormat="1" ht="39.75" customHeight="1" thickBot="1" x14ac:dyDescent="0.3">
      <c r="B19" s="442" t="s">
        <v>131</v>
      </c>
      <c r="C19" s="443" t="s">
        <v>559</v>
      </c>
      <c r="D19" s="444">
        <f>VAS076_F_Paskirstomasil22ApskaitosVeikla</f>
        <v>0</v>
      </c>
      <c r="E19" s="445" t="s">
        <v>552</v>
      </c>
    </row>
    <row r="20" spans="2:5" s="1" customFormat="1" ht="24" x14ac:dyDescent="0.25">
      <c r="B20" s="446" t="s">
        <v>53</v>
      </c>
      <c r="C20" s="447" t="s">
        <v>560</v>
      </c>
      <c r="D20" s="448">
        <f>SUM(D21:D30)</f>
        <v>9171.6883190000008</v>
      </c>
      <c r="E20" s="449"/>
    </row>
    <row r="21" spans="2:5" s="1" customFormat="1" x14ac:dyDescent="0.25">
      <c r="B21" s="438" t="s">
        <v>55</v>
      </c>
      <c r="C21" s="450" t="s">
        <v>561</v>
      </c>
      <c r="D21" s="451">
        <v>9666.3320600000006</v>
      </c>
      <c r="E21" s="441"/>
    </row>
    <row r="22" spans="2:5" s="1" customFormat="1" ht="24" x14ac:dyDescent="0.25">
      <c r="B22" s="438" t="s">
        <v>141</v>
      </c>
      <c r="C22" s="450" t="s">
        <v>562</v>
      </c>
      <c r="D22" s="451"/>
      <c r="E22" s="441"/>
    </row>
    <row r="23" spans="2:5" s="1" customFormat="1" x14ac:dyDescent="0.25">
      <c r="B23" s="438" t="s">
        <v>302</v>
      </c>
      <c r="C23" s="450" t="s">
        <v>563</v>
      </c>
      <c r="D23" s="451"/>
      <c r="E23" s="441"/>
    </row>
    <row r="24" spans="2:5" s="1" customFormat="1" x14ac:dyDescent="0.25">
      <c r="B24" s="438" t="s">
        <v>307</v>
      </c>
      <c r="C24" s="450" t="s">
        <v>564</v>
      </c>
      <c r="D24" s="451">
        <v>33.749229999999997</v>
      </c>
      <c r="E24" s="441"/>
    </row>
    <row r="25" spans="2:5" s="1" customFormat="1" x14ac:dyDescent="0.25">
      <c r="B25" s="438" t="s">
        <v>312</v>
      </c>
      <c r="C25" s="450" t="s">
        <v>565</v>
      </c>
      <c r="D25" s="451"/>
      <c r="E25" s="441"/>
    </row>
    <row r="26" spans="2:5" s="1" customFormat="1" x14ac:dyDescent="0.25">
      <c r="B26" s="438" t="s">
        <v>318</v>
      </c>
      <c r="C26" s="450" t="s">
        <v>566</v>
      </c>
      <c r="D26" s="451"/>
      <c r="E26" s="441"/>
    </row>
    <row r="27" spans="2:5" s="1" customFormat="1" ht="24" x14ac:dyDescent="0.25">
      <c r="B27" s="438" t="s">
        <v>322</v>
      </c>
      <c r="C27" s="450" t="s">
        <v>567</v>
      </c>
      <c r="D27" s="451"/>
      <c r="E27" s="441"/>
    </row>
    <row r="28" spans="2:5" s="1" customFormat="1" x14ac:dyDescent="0.25">
      <c r="B28" s="438" t="s">
        <v>331</v>
      </c>
      <c r="C28" s="450" t="s">
        <v>568</v>
      </c>
      <c r="D28" s="451">
        <v>20.37116</v>
      </c>
      <c r="E28" s="441"/>
    </row>
    <row r="29" spans="2:5" s="1" customFormat="1" ht="24" x14ac:dyDescent="0.25">
      <c r="B29" s="442" t="s">
        <v>333</v>
      </c>
      <c r="C29" s="452" t="s">
        <v>569</v>
      </c>
      <c r="D29" s="453">
        <v>20.82198</v>
      </c>
      <c r="E29" s="445"/>
    </row>
    <row r="30" spans="2:5" s="1" customFormat="1" ht="24.75" thickBot="1" x14ac:dyDescent="0.3">
      <c r="B30" s="454" t="s">
        <v>343</v>
      </c>
      <c r="C30" s="455" t="s">
        <v>570</v>
      </c>
      <c r="D30" s="456">
        <f>D11-D12-D31-D21-D22-D23-D24-D25-D26-D27-D28-D29</f>
        <v>-569.58611099999996</v>
      </c>
      <c r="E30" s="457"/>
    </row>
    <row r="31" spans="2:5" s="1" customFormat="1" x14ac:dyDescent="0.25">
      <c r="B31" s="458" t="s">
        <v>59</v>
      </c>
      <c r="C31" s="459" t="s">
        <v>571</v>
      </c>
      <c r="D31" s="460">
        <f>SUM(D32:D33)</f>
        <v>0</v>
      </c>
      <c r="E31" s="441" t="s">
        <v>552</v>
      </c>
    </row>
    <row r="32" spans="2:5" s="1" customFormat="1" x14ac:dyDescent="0.25">
      <c r="B32" s="438" t="s">
        <v>150</v>
      </c>
      <c r="C32" s="439" t="s">
        <v>572</v>
      </c>
      <c r="D32" s="440">
        <f>VAS076_F_Paskirstomasil26KitosReguliuojamosios</f>
        <v>0</v>
      </c>
      <c r="E32" s="441" t="s">
        <v>552</v>
      </c>
    </row>
    <row r="33" spans="2:5" s="1" customFormat="1" ht="15.75" thickBot="1" x14ac:dyDescent="0.3">
      <c r="B33" s="442" t="s">
        <v>152</v>
      </c>
      <c r="C33" s="443" t="s">
        <v>573</v>
      </c>
      <c r="D33" s="444">
        <f>VAS076_F_Paskirstomasil27KitosVeiklos</f>
        <v>0</v>
      </c>
      <c r="E33" s="445" t="s">
        <v>552</v>
      </c>
    </row>
    <row r="34" spans="2:5" s="1" customFormat="1" ht="25.5" thickTop="1" thickBot="1" x14ac:dyDescent="0.3">
      <c r="B34" s="430" t="s">
        <v>574</v>
      </c>
      <c r="C34" s="431" t="s">
        <v>575</v>
      </c>
      <c r="D34" s="461">
        <v>18666.146560000001</v>
      </c>
      <c r="E34" s="433"/>
    </row>
    <row r="35" spans="2:5" s="1" customFormat="1" ht="37.5" thickTop="1" thickBot="1" x14ac:dyDescent="0.3">
      <c r="B35" s="430" t="s">
        <v>63</v>
      </c>
      <c r="C35" s="431" t="s">
        <v>576</v>
      </c>
      <c r="D35" s="432">
        <f>SUM(D36:D37)+D41+D42</f>
        <v>2756.1951744739999</v>
      </c>
      <c r="E35" s="433" t="s">
        <v>577</v>
      </c>
    </row>
    <row r="36" spans="2:5" s="1" customFormat="1" ht="24.75" thickTop="1" x14ac:dyDescent="0.25">
      <c r="B36" s="434" t="s">
        <v>65</v>
      </c>
      <c r="C36" s="435" t="s">
        <v>578</v>
      </c>
      <c r="D36" s="436">
        <f>VAS075_F_Paskirstomasil13IsViso</f>
        <v>1194.8904263709999</v>
      </c>
      <c r="E36" s="437" t="s">
        <v>577</v>
      </c>
    </row>
    <row r="37" spans="2:5" s="1" customFormat="1" ht="24" x14ac:dyDescent="0.25">
      <c r="B37" s="438" t="s">
        <v>69</v>
      </c>
      <c r="C37" s="439" t="s">
        <v>579</v>
      </c>
      <c r="D37" s="440">
        <f>VAS075_F_Paskirstomasil14IsViso</f>
        <v>1561.3047481030001</v>
      </c>
      <c r="E37" s="441" t="s">
        <v>577</v>
      </c>
    </row>
    <row r="38" spans="2:5" s="1" customFormat="1" ht="24" x14ac:dyDescent="0.25">
      <c r="B38" s="438" t="s">
        <v>580</v>
      </c>
      <c r="C38" s="439" t="s">
        <v>581</v>
      </c>
      <c r="D38" s="440">
        <f>VAS075_F_Paskirstomasil141NuotekuSurinkimas</f>
        <v>1529.382836303</v>
      </c>
      <c r="E38" s="441" t="s">
        <v>577</v>
      </c>
    </row>
    <row r="39" spans="2:5" s="1" customFormat="1" ht="24" x14ac:dyDescent="0.25">
      <c r="B39" s="438" t="s">
        <v>582</v>
      </c>
      <c r="C39" s="439" t="s">
        <v>583</v>
      </c>
      <c r="D39" s="440">
        <f>VAS075_F_Paskirstomasil142NuotekuValymas</f>
        <v>26.739660353000001</v>
      </c>
      <c r="E39" s="441" t="s">
        <v>577</v>
      </c>
    </row>
    <row r="40" spans="2:5" s="1" customFormat="1" ht="24" x14ac:dyDescent="0.25">
      <c r="B40" s="438" t="s">
        <v>584</v>
      </c>
      <c r="C40" s="439" t="s">
        <v>585</v>
      </c>
      <c r="D40" s="440">
        <f>VAS075_F_Paskirstomasil143NuotekuDumblo</f>
        <v>5.1822514470000005</v>
      </c>
      <c r="E40" s="441" t="s">
        <v>577</v>
      </c>
    </row>
    <row r="41" spans="2:5" s="1" customFormat="1" ht="24" x14ac:dyDescent="0.25">
      <c r="B41" s="442" t="s">
        <v>71</v>
      </c>
      <c r="C41" s="439" t="s">
        <v>586</v>
      </c>
      <c r="D41" s="440">
        <f>VAS075_F_Paskirstomasil15PavirsiniuNuoteku</f>
        <v>0</v>
      </c>
      <c r="E41" s="441" t="s">
        <v>577</v>
      </c>
    </row>
    <row r="42" spans="2:5" s="1" customFormat="1" ht="24.75" thickBot="1" x14ac:dyDescent="0.3">
      <c r="B42" s="442" t="s">
        <v>73</v>
      </c>
      <c r="C42" s="443" t="s">
        <v>587</v>
      </c>
      <c r="D42" s="444">
        <f>VAS075_F_Paskirstomasil12ApskaitosVeikla</f>
        <v>0</v>
      </c>
      <c r="E42" s="445" t="s">
        <v>577</v>
      </c>
    </row>
    <row r="43" spans="2:5" s="1" customFormat="1" ht="24" x14ac:dyDescent="0.25">
      <c r="B43" s="446" t="s">
        <v>77</v>
      </c>
      <c r="C43" s="447" t="s">
        <v>588</v>
      </c>
      <c r="D43" s="448">
        <f>SUM(D44:D53)</f>
        <v>15909.951385526001</v>
      </c>
      <c r="E43" s="449"/>
    </row>
    <row r="44" spans="2:5" s="1" customFormat="1" x14ac:dyDescent="0.25">
      <c r="B44" s="438" t="s">
        <v>497</v>
      </c>
      <c r="C44" s="450" t="s">
        <v>561</v>
      </c>
      <c r="D44" s="451">
        <v>15468.18483</v>
      </c>
      <c r="E44" s="441"/>
    </row>
    <row r="45" spans="2:5" s="1" customFormat="1" ht="24" x14ac:dyDescent="0.25">
      <c r="B45" s="438" t="s">
        <v>171</v>
      </c>
      <c r="C45" s="450" t="s">
        <v>562</v>
      </c>
      <c r="D45" s="451"/>
      <c r="E45" s="441"/>
    </row>
    <row r="46" spans="2:5" s="1" customFormat="1" x14ac:dyDescent="0.25">
      <c r="B46" s="438" t="s">
        <v>173</v>
      </c>
      <c r="C46" s="450" t="s">
        <v>563</v>
      </c>
      <c r="D46" s="451"/>
      <c r="E46" s="441"/>
    </row>
    <row r="47" spans="2:5" s="1" customFormat="1" x14ac:dyDescent="0.25">
      <c r="B47" s="438" t="s">
        <v>175</v>
      </c>
      <c r="C47" s="450" t="s">
        <v>564</v>
      </c>
      <c r="D47" s="451">
        <v>49.876449999999998</v>
      </c>
      <c r="E47" s="441"/>
    </row>
    <row r="48" spans="2:5" s="1" customFormat="1" x14ac:dyDescent="0.25">
      <c r="B48" s="438" t="s">
        <v>177</v>
      </c>
      <c r="C48" s="450" t="s">
        <v>565</v>
      </c>
      <c r="D48" s="451"/>
      <c r="E48" s="441"/>
    </row>
    <row r="49" spans="2:5" s="1" customFormat="1" x14ac:dyDescent="0.25">
      <c r="B49" s="438" t="s">
        <v>179</v>
      </c>
      <c r="C49" s="450" t="s">
        <v>566</v>
      </c>
      <c r="D49" s="451"/>
      <c r="E49" s="441"/>
    </row>
    <row r="50" spans="2:5" s="1" customFormat="1" ht="24" x14ac:dyDescent="0.25">
      <c r="B50" s="438" t="s">
        <v>181</v>
      </c>
      <c r="C50" s="450" t="s">
        <v>567</v>
      </c>
      <c r="D50" s="451"/>
      <c r="E50" s="441"/>
    </row>
    <row r="51" spans="2:5" s="1" customFormat="1" x14ac:dyDescent="0.25">
      <c r="B51" s="438" t="s">
        <v>183</v>
      </c>
      <c r="C51" s="450" t="s">
        <v>568</v>
      </c>
      <c r="D51" s="451">
        <v>370.80973999999998</v>
      </c>
      <c r="E51" s="441"/>
    </row>
    <row r="52" spans="2:5" s="1" customFormat="1" ht="24" x14ac:dyDescent="0.25">
      <c r="B52" s="442" t="s">
        <v>185</v>
      </c>
      <c r="C52" s="452" t="s">
        <v>569</v>
      </c>
      <c r="D52" s="453">
        <v>21.08389</v>
      </c>
      <c r="E52" s="445"/>
    </row>
    <row r="53" spans="2:5" s="1" customFormat="1" ht="24.75" thickBot="1" x14ac:dyDescent="0.3">
      <c r="B53" s="454" t="s">
        <v>187</v>
      </c>
      <c r="C53" s="455" t="s">
        <v>589</v>
      </c>
      <c r="D53" s="462">
        <f>D34-D35-D54-D44-D45-D46-D47-D48-D49-D50-D51-D52</f>
        <v>-3.5244739989970242E-3</v>
      </c>
      <c r="E53" s="457"/>
    </row>
    <row r="54" spans="2:5" s="1" customFormat="1" x14ac:dyDescent="0.25">
      <c r="B54" s="458" t="s">
        <v>79</v>
      </c>
      <c r="C54" s="459" t="s">
        <v>590</v>
      </c>
      <c r="D54" s="460">
        <f>D55+D56</f>
        <v>0</v>
      </c>
      <c r="E54" s="441" t="s">
        <v>577</v>
      </c>
    </row>
    <row r="55" spans="2:5" s="1" customFormat="1" x14ac:dyDescent="0.25">
      <c r="B55" s="438" t="s">
        <v>212</v>
      </c>
      <c r="C55" s="439" t="s">
        <v>591</v>
      </c>
      <c r="D55" s="440">
        <f>VAS075_F_Paskirstomasil16KitosReguliuojamosios</f>
        <v>0</v>
      </c>
      <c r="E55" s="441" t="s">
        <v>577</v>
      </c>
    </row>
    <row r="56" spans="2:5" s="1" customFormat="1" ht="15.75" thickBot="1" x14ac:dyDescent="0.3">
      <c r="B56" s="463" t="s">
        <v>214</v>
      </c>
      <c r="C56" s="464" t="s">
        <v>592</v>
      </c>
      <c r="D56" s="465">
        <f>VAS075_F_Paskirstomasil17KitosVeiklos</f>
        <v>0</v>
      </c>
      <c r="E56" s="457" t="s">
        <v>577</v>
      </c>
    </row>
  </sheetData>
  <sheetProtection algorithmName="SHA-512" hashValue="0mgxO6zGzst+SdWjML19yhYzSubcoHe2rMBFaKogjSPV3aHF2buy8Yfg6cUD7aTlF7SUbmsCpEgyWGaIhQwAaQ==" saltValue="9tGrT9pWJauMMlHqpYKl9CbId5km6SJJ74KsnePF8TxVrvThaP/1Kz6cVfPB2FL6mc2Ge7+p6M4Gwt3W7ufSCw=="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4"/>
  <sheetViews>
    <sheetView zoomScale="80" zoomScaleNormal="80" workbookViewId="0">
      <selection activeCell="D10" sqref="D10"/>
    </sheetView>
  </sheetViews>
  <sheetFormatPr defaultRowHeight="15" x14ac:dyDescent="0.2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x14ac:dyDescent="0.25">
      <c r="A1" s="1406" t="s">
        <v>0</v>
      </c>
      <c r="B1" s="1407"/>
      <c r="C1" s="1407"/>
      <c r="D1" s="1407"/>
      <c r="E1" s="1407"/>
      <c r="F1" s="1407"/>
      <c r="G1" s="1407"/>
      <c r="H1" s="1407"/>
      <c r="I1" s="1407"/>
      <c r="J1" s="1407"/>
      <c r="K1" s="1407"/>
      <c r="L1" s="1407"/>
      <c r="M1" s="1407"/>
      <c r="N1" s="1407"/>
      <c r="O1" s="1407"/>
      <c r="P1" s="1408"/>
    </row>
    <row r="2" spans="1:16" s="1" customFormat="1" x14ac:dyDescent="0.25">
      <c r="A2" s="1406" t="s">
        <v>1</v>
      </c>
      <c r="B2" s="1407"/>
      <c r="C2" s="1407"/>
      <c r="D2" s="1407"/>
      <c r="E2" s="1407"/>
      <c r="F2" s="1407"/>
      <c r="G2" s="1407"/>
      <c r="H2" s="1407"/>
      <c r="I2" s="1407"/>
      <c r="J2" s="1407"/>
      <c r="K2" s="1407"/>
      <c r="L2" s="1407"/>
      <c r="M2" s="1407"/>
      <c r="N2" s="1407"/>
      <c r="O2" s="1407"/>
      <c r="P2" s="1408"/>
    </row>
    <row r="3" spans="1:16" s="1" customFormat="1" x14ac:dyDescent="0.25">
      <c r="A3" s="1409"/>
      <c r="B3" s="1410"/>
      <c r="C3" s="1410"/>
      <c r="D3" s="1410"/>
      <c r="E3" s="1410"/>
      <c r="F3" s="1410"/>
      <c r="G3" s="1410"/>
      <c r="H3" s="1410"/>
      <c r="I3" s="1410"/>
      <c r="J3" s="1410"/>
      <c r="K3" s="1410"/>
      <c r="L3" s="1410"/>
      <c r="M3" s="1410"/>
      <c r="N3" s="1410"/>
      <c r="O3" s="1410"/>
      <c r="P3" s="1411"/>
    </row>
    <row r="4" spans="1:16" s="1" customFormat="1" x14ac:dyDescent="0.25">
      <c r="A4" s="466"/>
      <c r="B4" s="466"/>
      <c r="C4" s="466"/>
      <c r="D4" s="466"/>
      <c r="E4" s="466"/>
      <c r="F4" s="466"/>
      <c r="G4" s="466"/>
      <c r="H4" s="466"/>
      <c r="I4" s="466"/>
      <c r="J4" s="466"/>
      <c r="K4" s="466"/>
      <c r="L4" s="466"/>
      <c r="M4" s="466"/>
      <c r="N4" s="466"/>
      <c r="O4" s="466"/>
      <c r="P4" s="466"/>
    </row>
    <row r="5" spans="1:16" s="1" customFormat="1" x14ac:dyDescent="0.25">
      <c r="A5" s="1412" t="s">
        <v>593</v>
      </c>
      <c r="B5" s="1413"/>
      <c r="C5" s="1413"/>
      <c r="D5" s="1413"/>
      <c r="E5" s="1413"/>
      <c r="F5" s="1413"/>
      <c r="G5" s="1413"/>
      <c r="H5" s="1413"/>
      <c r="I5" s="1413"/>
      <c r="J5" s="1413"/>
      <c r="K5" s="1413"/>
      <c r="L5" s="1413"/>
      <c r="M5" s="1413"/>
      <c r="N5" s="1413"/>
      <c r="O5" s="1413"/>
      <c r="P5" s="1414"/>
    </row>
    <row r="6" spans="1:16" s="1" customFormat="1" x14ac:dyDescent="0.25">
      <c r="A6" s="466"/>
      <c r="B6" s="466"/>
      <c r="C6" s="466"/>
      <c r="D6" s="466"/>
      <c r="E6" s="466"/>
      <c r="F6" s="466"/>
      <c r="G6" s="466"/>
      <c r="H6" s="466"/>
      <c r="I6" s="466"/>
      <c r="J6" s="466"/>
      <c r="K6" s="466"/>
      <c r="L6" s="466"/>
      <c r="M6" s="466"/>
      <c r="N6" s="466"/>
      <c r="O6" s="466"/>
      <c r="P6" s="466"/>
    </row>
    <row r="8" spans="1:16" s="1" customFormat="1" ht="15.75" thickBot="1" x14ac:dyDescent="0.3">
      <c r="B8" s="1362" t="s">
        <v>594</v>
      </c>
      <c r="C8" s="1362"/>
      <c r="D8" s="1362"/>
      <c r="E8" s="1362"/>
      <c r="F8" s="1362"/>
      <c r="G8" s="1362"/>
      <c r="H8" s="1362"/>
      <c r="I8" s="1362"/>
      <c r="J8" s="1362"/>
      <c r="K8" s="1362"/>
      <c r="L8" s="1362"/>
      <c r="M8" s="1362"/>
      <c r="N8" s="1362"/>
      <c r="O8" s="1362"/>
      <c r="P8" s="1362"/>
    </row>
    <row r="9" spans="1:16" s="1" customFormat="1" ht="71.25" customHeight="1" thickBot="1" x14ac:dyDescent="0.3">
      <c r="B9" s="467" t="s">
        <v>4</v>
      </c>
      <c r="C9" s="468" t="s">
        <v>52</v>
      </c>
      <c r="D9" s="468" t="s">
        <v>255</v>
      </c>
      <c r="E9" s="469" t="s">
        <v>256</v>
      </c>
      <c r="F9" s="470" t="s">
        <v>257</v>
      </c>
      <c r="G9" s="471" t="s">
        <v>258</v>
      </c>
      <c r="H9" s="472" t="s">
        <v>259</v>
      </c>
      <c r="I9" s="473" t="s">
        <v>260</v>
      </c>
      <c r="J9" s="474" t="s">
        <v>261</v>
      </c>
      <c r="K9" s="471" t="s">
        <v>262</v>
      </c>
      <c r="L9" s="472" t="s">
        <v>263</v>
      </c>
      <c r="M9" s="475" t="s">
        <v>264</v>
      </c>
      <c r="N9" s="476" t="s">
        <v>265</v>
      </c>
      <c r="O9" s="477" t="s">
        <v>266</v>
      </c>
      <c r="P9" s="474" t="s">
        <v>267</v>
      </c>
    </row>
    <row r="10" spans="1:16" s="1" customFormat="1" ht="16.5" thickTop="1" thickBot="1" x14ac:dyDescent="0.3">
      <c r="B10" s="478" t="s">
        <v>51</v>
      </c>
      <c r="C10" s="479" t="s">
        <v>595</v>
      </c>
      <c r="D10" s="480">
        <f t="shared" ref="D10:P10" si="0">D11+D15+D20+D23+D26+D29</f>
        <v>2756.1951744739999</v>
      </c>
      <c r="E10" s="481">
        <f t="shared" si="0"/>
        <v>0</v>
      </c>
      <c r="F10" s="482">
        <f t="shared" si="0"/>
        <v>1194.8904263709999</v>
      </c>
      <c r="G10" s="483">
        <f t="shared" si="0"/>
        <v>82.799954959000004</v>
      </c>
      <c r="H10" s="484">
        <f t="shared" si="0"/>
        <v>275.05495854200001</v>
      </c>
      <c r="I10" s="485">
        <f t="shared" si="0"/>
        <v>837.03551287000005</v>
      </c>
      <c r="J10" s="482">
        <f t="shared" si="0"/>
        <v>1561.3047481030001</v>
      </c>
      <c r="K10" s="483">
        <f t="shared" si="0"/>
        <v>1529.382836303</v>
      </c>
      <c r="L10" s="484">
        <f t="shared" si="0"/>
        <v>26.739660353000001</v>
      </c>
      <c r="M10" s="486">
        <f t="shared" si="0"/>
        <v>5.1822514470000005</v>
      </c>
      <c r="N10" s="481">
        <f t="shared" si="0"/>
        <v>0</v>
      </c>
      <c r="O10" s="487">
        <f t="shared" si="0"/>
        <v>0</v>
      </c>
      <c r="P10" s="482">
        <f t="shared" si="0"/>
        <v>0</v>
      </c>
    </row>
    <row r="11" spans="1:16" s="1" customFormat="1" ht="15.75" thickTop="1" x14ac:dyDescent="0.25">
      <c r="B11" s="488" t="s">
        <v>96</v>
      </c>
      <c r="C11" s="489" t="s">
        <v>8</v>
      </c>
      <c r="D11" s="490">
        <f t="shared" ref="D11:D55" si="1">E11+F11+J11+N11+O11+P11</f>
        <v>0</v>
      </c>
      <c r="E11" s="491">
        <f>SUM(E12:E14)</f>
        <v>0</v>
      </c>
      <c r="F11" s="492">
        <f t="shared" ref="F11:F32" si="2">SUM(G11:I11)</f>
        <v>0</v>
      </c>
      <c r="G11" s="493">
        <f>SUM(G12:G14)</f>
        <v>0</v>
      </c>
      <c r="H11" s="494">
        <f>SUM(H12:H14)</f>
        <v>0</v>
      </c>
      <c r="I11" s="495">
        <f>SUM(I12:I14)</f>
        <v>0</v>
      </c>
      <c r="J11" s="492">
        <f t="shared" ref="J11:J32" si="3">SUM(K11:M11)</f>
        <v>0</v>
      </c>
      <c r="K11" s="493">
        <f t="shared" ref="K11:P11" si="4">SUM(K12:K14)</f>
        <v>0</v>
      </c>
      <c r="L11" s="494">
        <f t="shared" si="4"/>
        <v>0</v>
      </c>
      <c r="M11" s="496">
        <f t="shared" si="4"/>
        <v>0</v>
      </c>
      <c r="N11" s="491">
        <f t="shared" si="4"/>
        <v>0</v>
      </c>
      <c r="O11" s="497">
        <f t="shared" si="4"/>
        <v>0</v>
      </c>
      <c r="P11" s="492">
        <f t="shared" si="4"/>
        <v>0</v>
      </c>
    </row>
    <row r="12" spans="1:16" s="1" customFormat="1" x14ac:dyDescent="0.25">
      <c r="B12" s="498" t="s">
        <v>98</v>
      </c>
      <c r="C12" s="499" t="s">
        <v>10</v>
      </c>
      <c r="D12" s="490">
        <f t="shared" si="1"/>
        <v>0</v>
      </c>
      <c r="E12" s="500">
        <f>SUM(E35,E58,E98)</f>
        <v>0</v>
      </c>
      <c r="F12" s="492">
        <f t="shared" si="2"/>
        <v>0</v>
      </c>
      <c r="G12" s="501">
        <f t="shared" ref="G12:I14" si="5">SUM(G35,G58,G98)</f>
        <v>0</v>
      </c>
      <c r="H12" s="502">
        <f t="shared" si="5"/>
        <v>0</v>
      </c>
      <c r="I12" s="502">
        <f t="shared" si="5"/>
        <v>0</v>
      </c>
      <c r="J12" s="492">
        <f t="shared" si="3"/>
        <v>0</v>
      </c>
      <c r="K12" s="503">
        <f t="shared" ref="K12:P14" si="6">SUM(K35,K58,K98)</f>
        <v>0</v>
      </c>
      <c r="L12" s="504">
        <f t="shared" si="6"/>
        <v>0</v>
      </c>
      <c r="M12" s="504">
        <f t="shared" si="6"/>
        <v>0</v>
      </c>
      <c r="N12" s="505">
        <f t="shared" si="6"/>
        <v>0</v>
      </c>
      <c r="O12" s="506">
        <f t="shared" si="6"/>
        <v>0</v>
      </c>
      <c r="P12" s="507">
        <f t="shared" si="6"/>
        <v>0</v>
      </c>
    </row>
    <row r="13" spans="1:16" s="1" customFormat="1" x14ac:dyDescent="0.25">
      <c r="B13" s="498" t="s">
        <v>100</v>
      </c>
      <c r="C13" s="499" t="s">
        <v>11</v>
      </c>
      <c r="D13" s="490">
        <f t="shared" si="1"/>
        <v>0</v>
      </c>
      <c r="E13" s="500">
        <f t="shared" ref="E13:E14" si="7">SUM(E36,E59,E99)</f>
        <v>0</v>
      </c>
      <c r="F13" s="492">
        <f t="shared" si="2"/>
        <v>0</v>
      </c>
      <c r="G13" s="501">
        <f t="shared" si="5"/>
        <v>0</v>
      </c>
      <c r="H13" s="502">
        <f t="shared" si="5"/>
        <v>0</v>
      </c>
      <c r="I13" s="502">
        <f t="shared" si="5"/>
        <v>0</v>
      </c>
      <c r="J13" s="492">
        <f t="shared" si="3"/>
        <v>0</v>
      </c>
      <c r="K13" s="503">
        <f t="shared" si="6"/>
        <v>0</v>
      </c>
      <c r="L13" s="504">
        <f t="shared" si="6"/>
        <v>0</v>
      </c>
      <c r="M13" s="504">
        <f t="shared" si="6"/>
        <v>0</v>
      </c>
      <c r="N13" s="505">
        <f t="shared" si="6"/>
        <v>0</v>
      </c>
      <c r="O13" s="506">
        <f t="shared" si="6"/>
        <v>0</v>
      </c>
      <c r="P13" s="508">
        <f t="shared" si="6"/>
        <v>0</v>
      </c>
    </row>
    <row r="14" spans="1:16" s="1" customFormat="1" x14ac:dyDescent="0.25">
      <c r="B14" s="498" t="s">
        <v>596</v>
      </c>
      <c r="C14" s="499" t="s">
        <v>13</v>
      </c>
      <c r="D14" s="490">
        <f t="shared" si="1"/>
        <v>0</v>
      </c>
      <c r="E14" s="500">
        <f t="shared" si="7"/>
        <v>0</v>
      </c>
      <c r="F14" s="492">
        <f t="shared" si="2"/>
        <v>0</v>
      </c>
      <c r="G14" s="501">
        <f t="shared" si="5"/>
        <v>0</v>
      </c>
      <c r="H14" s="502">
        <f t="shared" si="5"/>
        <v>0</v>
      </c>
      <c r="I14" s="502">
        <f t="shared" si="5"/>
        <v>0</v>
      </c>
      <c r="J14" s="492">
        <f t="shared" si="3"/>
        <v>0</v>
      </c>
      <c r="K14" s="503">
        <f t="shared" si="6"/>
        <v>0</v>
      </c>
      <c r="L14" s="504">
        <f t="shared" si="6"/>
        <v>0</v>
      </c>
      <c r="M14" s="504">
        <f t="shared" si="6"/>
        <v>0</v>
      </c>
      <c r="N14" s="505">
        <f t="shared" si="6"/>
        <v>0</v>
      </c>
      <c r="O14" s="506">
        <f t="shared" si="6"/>
        <v>0</v>
      </c>
      <c r="P14" s="508">
        <f t="shared" si="6"/>
        <v>0</v>
      </c>
    </row>
    <row r="15" spans="1:16" s="1" customFormat="1" x14ac:dyDescent="0.25">
      <c r="B15" s="488" t="s">
        <v>102</v>
      </c>
      <c r="C15" s="509" t="s">
        <v>15</v>
      </c>
      <c r="D15" s="490">
        <f t="shared" si="1"/>
        <v>2452.53069</v>
      </c>
      <c r="E15" s="491">
        <f>SUM(E16:E19)</f>
        <v>0</v>
      </c>
      <c r="F15" s="492">
        <f t="shared" si="2"/>
        <v>988.66186100000004</v>
      </c>
      <c r="G15" s="493">
        <f>SUM(G16:G19)</f>
        <v>69.603261355000001</v>
      </c>
      <c r="H15" s="494">
        <f>SUM(H16:H19)</f>
        <v>131.68010899000001</v>
      </c>
      <c r="I15" s="495">
        <f>SUM(I16:I19)</f>
        <v>787.37849065500006</v>
      </c>
      <c r="J15" s="492">
        <f t="shared" si="3"/>
        <v>1463.868829</v>
      </c>
      <c r="K15" s="510">
        <f t="shared" ref="K15:P15" si="8">SUM(K16:K19)</f>
        <v>1459.3829934</v>
      </c>
      <c r="L15" s="511">
        <f t="shared" si="8"/>
        <v>4.3373201999999997</v>
      </c>
      <c r="M15" s="511">
        <f t="shared" si="8"/>
        <v>0.14851540000000002</v>
      </c>
      <c r="N15" s="512">
        <f t="shared" si="8"/>
        <v>0</v>
      </c>
      <c r="O15" s="491">
        <f t="shared" si="8"/>
        <v>0</v>
      </c>
      <c r="P15" s="492">
        <f t="shared" si="8"/>
        <v>0</v>
      </c>
    </row>
    <row r="16" spans="1:16" s="1" customFormat="1" x14ac:dyDescent="0.25">
      <c r="B16" s="498" t="s">
        <v>104</v>
      </c>
      <c r="C16" s="499" t="s">
        <v>17</v>
      </c>
      <c r="D16" s="490">
        <f t="shared" si="1"/>
        <v>163.02735000000001</v>
      </c>
      <c r="E16" s="500">
        <f t="shared" ref="E16:E19" si="9">SUM(E39,E62,E102)</f>
        <v>0</v>
      </c>
      <c r="F16" s="492">
        <f t="shared" si="2"/>
        <v>137.35803142</v>
      </c>
      <c r="G16" s="501">
        <f t="shared" ref="G16:I19" si="10">SUM(G39,G62,G102)</f>
        <v>18.419094433999998</v>
      </c>
      <c r="H16" s="502">
        <f t="shared" si="10"/>
        <v>96.155073948000009</v>
      </c>
      <c r="I16" s="502">
        <f t="shared" si="10"/>
        <v>22.783863038</v>
      </c>
      <c r="J16" s="492">
        <f t="shared" si="3"/>
        <v>25.669318579999999</v>
      </c>
      <c r="K16" s="503">
        <f t="shared" ref="K16:P19" si="11">SUM(K39,K62,K102)</f>
        <v>23.790606948000001</v>
      </c>
      <c r="L16" s="504">
        <f t="shared" si="11"/>
        <v>1.798500244</v>
      </c>
      <c r="M16" s="504">
        <f t="shared" si="11"/>
        <v>8.0211388000000008E-2</v>
      </c>
      <c r="N16" s="505">
        <f t="shared" si="11"/>
        <v>0</v>
      </c>
      <c r="O16" s="506">
        <f t="shared" si="11"/>
        <v>0</v>
      </c>
      <c r="P16" s="508">
        <f t="shared" si="11"/>
        <v>0</v>
      </c>
    </row>
    <row r="17" spans="2:16" s="1" customFormat="1" x14ac:dyDescent="0.25">
      <c r="B17" s="498" t="s">
        <v>110</v>
      </c>
      <c r="C17" s="499" t="s">
        <v>597</v>
      </c>
      <c r="D17" s="490">
        <f t="shared" si="1"/>
        <v>95.791550000000001</v>
      </c>
      <c r="E17" s="500">
        <f t="shared" si="9"/>
        <v>0</v>
      </c>
      <c r="F17" s="492">
        <f t="shared" si="2"/>
        <v>75.426169580000007</v>
      </c>
      <c r="G17" s="501">
        <f t="shared" si="10"/>
        <v>21.050916921000002</v>
      </c>
      <c r="H17" s="502">
        <f t="shared" si="10"/>
        <v>35.525035042000006</v>
      </c>
      <c r="I17" s="502">
        <f t="shared" si="10"/>
        <v>18.850217617000002</v>
      </c>
      <c r="J17" s="492">
        <f t="shared" si="3"/>
        <v>20.365380420000001</v>
      </c>
      <c r="K17" s="503">
        <f t="shared" si="11"/>
        <v>19.948366452000002</v>
      </c>
      <c r="L17" s="504">
        <f t="shared" si="11"/>
        <v>0.34870995599999999</v>
      </c>
      <c r="M17" s="504">
        <f t="shared" si="11"/>
        <v>6.8304012000000011E-2</v>
      </c>
      <c r="N17" s="505">
        <f t="shared" si="11"/>
        <v>0</v>
      </c>
      <c r="O17" s="506">
        <f t="shared" si="11"/>
        <v>0</v>
      </c>
      <c r="P17" s="508">
        <f t="shared" si="11"/>
        <v>0</v>
      </c>
    </row>
    <row r="18" spans="2:16" s="1" customFormat="1" x14ac:dyDescent="0.25">
      <c r="B18" s="498" t="s">
        <v>117</v>
      </c>
      <c r="C18" s="499" t="s">
        <v>23</v>
      </c>
      <c r="D18" s="490">
        <f t="shared" si="1"/>
        <v>2141.26802</v>
      </c>
      <c r="E18" s="500">
        <f t="shared" si="9"/>
        <v>0</v>
      </c>
      <c r="F18" s="492">
        <f t="shared" si="2"/>
        <v>745.46441000000004</v>
      </c>
      <c r="G18" s="501">
        <f t="shared" si="10"/>
        <v>0</v>
      </c>
      <c r="H18" s="502">
        <f t="shared" si="10"/>
        <v>0</v>
      </c>
      <c r="I18" s="502">
        <f t="shared" si="10"/>
        <v>745.46441000000004</v>
      </c>
      <c r="J18" s="492">
        <f t="shared" si="3"/>
        <v>1395.8036099999999</v>
      </c>
      <c r="K18" s="503">
        <f t="shared" si="11"/>
        <v>1395.8036099999999</v>
      </c>
      <c r="L18" s="504">
        <f t="shared" si="11"/>
        <v>0</v>
      </c>
      <c r="M18" s="504">
        <f t="shared" si="11"/>
        <v>0</v>
      </c>
      <c r="N18" s="505">
        <f t="shared" si="11"/>
        <v>0</v>
      </c>
      <c r="O18" s="506">
        <f t="shared" si="11"/>
        <v>0</v>
      </c>
      <c r="P18" s="508">
        <f t="shared" si="11"/>
        <v>0</v>
      </c>
    </row>
    <row r="19" spans="2:16" s="1" customFormat="1" ht="38.25" x14ac:dyDescent="0.25">
      <c r="B19" s="498" t="s">
        <v>598</v>
      </c>
      <c r="C19" s="499" t="s">
        <v>599</v>
      </c>
      <c r="D19" s="490">
        <f t="shared" si="1"/>
        <v>52.443770000000001</v>
      </c>
      <c r="E19" s="500">
        <f t="shared" si="9"/>
        <v>0</v>
      </c>
      <c r="F19" s="492">
        <f t="shared" si="2"/>
        <v>30.413250000000001</v>
      </c>
      <c r="G19" s="501">
        <f t="shared" si="10"/>
        <v>30.13325</v>
      </c>
      <c r="H19" s="502">
        <f t="shared" si="10"/>
        <v>0</v>
      </c>
      <c r="I19" s="502">
        <f t="shared" si="10"/>
        <v>0.28000000000000003</v>
      </c>
      <c r="J19" s="492">
        <f t="shared" si="3"/>
        <v>22.030519999999999</v>
      </c>
      <c r="K19" s="503">
        <f t="shared" si="11"/>
        <v>19.840409999999999</v>
      </c>
      <c r="L19" s="504">
        <f t="shared" si="11"/>
        <v>2.1901099999999998</v>
      </c>
      <c r="M19" s="504">
        <f t="shared" si="11"/>
        <v>0</v>
      </c>
      <c r="N19" s="505">
        <f t="shared" si="11"/>
        <v>0</v>
      </c>
      <c r="O19" s="506">
        <f t="shared" si="11"/>
        <v>0</v>
      </c>
      <c r="P19" s="508">
        <f t="shared" si="11"/>
        <v>0</v>
      </c>
    </row>
    <row r="20" spans="2:16" s="1" customFormat="1" x14ac:dyDescent="0.25">
      <c r="B20" s="488" t="s">
        <v>124</v>
      </c>
      <c r="C20" s="513" t="s">
        <v>27</v>
      </c>
      <c r="D20" s="490">
        <f t="shared" si="1"/>
        <v>190.56151</v>
      </c>
      <c r="E20" s="491">
        <f>SUM(E21:E22)</f>
        <v>0</v>
      </c>
      <c r="F20" s="492">
        <f t="shared" si="2"/>
        <v>154.29551000000001</v>
      </c>
      <c r="G20" s="493">
        <f>SUM(G21:G22)</f>
        <v>7.0850799999999996</v>
      </c>
      <c r="H20" s="494">
        <f>SUM(H21:H22)</f>
        <v>116.13567</v>
      </c>
      <c r="I20" s="495">
        <f>SUM(I21:I22)</f>
        <v>31.074760000000001</v>
      </c>
      <c r="J20" s="492">
        <f t="shared" si="3"/>
        <v>36.265999999999998</v>
      </c>
      <c r="K20" s="510">
        <f t="shared" ref="K20:P20" si="12">SUM(K21:K22)</f>
        <v>15.162939999999999</v>
      </c>
      <c r="L20" s="511">
        <f t="shared" si="12"/>
        <v>16.502230000000001</v>
      </c>
      <c r="M20" s="511">
        <f t="shared" si="12"/>
        <v>4.6008300000000002</v>
      </c>
      <c r="N20" s="512">
        <f t="shared" si="12"/>
        <v>0</v>
      </c>
      <c r="O20" s="491">
        <f t="shared" si="12"/>
        <v>0</v>
      </c>
      <c r="P20" s="492">
        <f t="shared" si="12"/>
        <v>0</v>
      </c>
    </row>
    <row r="21" spans="2:16" s="1" customFormat="1" ht="51.75" x14ac:dyDescent="0.25">
      <c r="B21" s="498" t="s">
        <v>126</v>
      </c>
      <c r="C21" s="514" t="s">
        <v>29</v>
      </c>
      <c r="D21" s="490">
        <f t="shared" si="1"/>
        <v>181.95926</v>
      </c>
      <c r="E21" s="500">
        <f>SUM(E44,E67,E107)</f>
        <v>0</v>
      </c>
      <c r="F21" s="492">
        <f t="shared" si="2"/>
        <v>154.29551000000001</v>
      </c>
      <c r="G21" s="501">
        <f t="shared" ref="G21:I21" si="13">SUM(G44,G67,G107)</f>
        <v>7.0850799999999996</v>
      </c>
      <c r="H21" s="502">
        <f t="shared" si="13"/>
        <v>116.13567</v>
      </c>
      <c r="I21" s="502">
        <f t="shared" si="13"/>
        <v>31.074760000000001</v>
      </c>
      <c r="J21" s="492">
        <f t="shared" si="3"/>
        <v>27.66375</v>
      </c>
      <c r="K21" s="503">
        <f t="shared" ref="K21:P21" si="14">SUM(K44,K67,K107)</f>
        <v>8.6011600000000001</v>
      </c>
      <c r="L21" s="504">
        <f t="shared" si="14"/>
        <v>14.46176</v>
      </c>
      <c r="M21" s="504">
        <f t="shared" si="14"/>
        <v>4.6008300000000002</v>
      </c>
      <c r="N21" s="505">
        <f t="shared" si="14"/>
        <v>0</v>
      </c>
      <c r="O21" s="506">
        <f t="shared" si="14"/>
        <v>0</v>
      </c>
      <c r="P21" s="508">
        <f t="shared" si="14"/>
        <v>0</v>
      </c>
    </row>
    <row r="22" spans="2:16" s="1" customFormat="1" x14ac:dyDescent="0.25">
      <c r="B22" s="498" t="s">
        <v>128</v>
      </c>
      <c r="C22" s="514" t="s">
        <v>31</v>
      </c>
      <c r="D22" s="490">
        <f t="shared" si="1"/>
        <v>8.6022499999999997</v>
      </c>
      <c r="E22" s="500">
        <f>SUM(E45,E68)</f>
        <v>0</v>
      </c>
      <c r="F22" s="492">
        <f t="shared" si="2"/>
        <v>0</v>
      </c>
      <c r="G22" s="501">
        <f t="shared" ref="G22:I22" si="15">SUM(G45,G68)</f>
        <v>0</v>
      </c>
      <c r="H22" s="502">
        <f t="shared" si="15"/>
        <v>0</v>
      </c>
      <c r="I22" s="502">
        <f t="shared" si="15"/>
        <v>0</v>
      </c>
      <c r="J22" s="492">
        <f t="shared" si="3"/>
        <v>8.6022499999999997</v>
      </c>
      <c r="K22" s="503">
        <f t="shared" ref="K22:P22" si="16">SUM(K45,K68)</f>
        <v>6.5617799999999997</v>
      </c>
      <c r="L22" s="504">
        <f t="shared" si="16"/>
        <v>2.04047</v>
      </c>
      <c r="M22" s="504">
        <f t="shared" si="16"/>
        <v>0</v>
      </c>
      <c r="N22" s="505">
        <f t="shared" si="16"/>
        <v>0</v>
      </c>
      <c r="O22" s="506">
        <f t="shared" si="16"/>
        <v>0</v>
      </c>
      <c r="P22" s="508">
        <f t="shared" si="16"/>
        <v>0</v>
      </c>
    </row>
    <row r="23" spans="2:16" s="1" customFormat="1" x14ac:dyDescent="0.25">
      <c r="B23" s="488" t="s">
        <v>131</v>
      </c>
      <c r="C23" s="513" t="s">
        <v>33</v>
      </c>
      <c r="D23" s="490">
        <f t="shared" si="1"/>
        <v>38.713561938000005</v>
      </c>
      <c r="E23" s="491">
        <f>SUM(E24:E25)</f>
        <v>0</v>
      </c>
      <c r="F23" s="492">
        <f t="shared" si="2"/>
        <v>30.003636747000002</v>
      </c>
      <c r="G23" s="493">
        <f>SUM(G24:G25)</f>
        <v>1.850273348</v>
      </c>
      <c r="H23" s="494">
        <f>SUM(H24:H25)</f>
        <v>13.084570120000002</v>
      </c>
      <c r="I23" s="495">
        <f>SUM(I24:I25)</f>
        <v>15.068793279000001</v>
      </c>
      <c r="J23" s="492">
        <f t="shared" si="3"/>
        <v>8.7099251910000017</v>
      </c>
      <c r="K23" s="510">
        <f t="shared" ref="K23:P23" si="17">SUM(K24:K25)</f>
        <v>4.6296805590000005</v>
      </c>
      <c r="L23" s="511">
        <f t="shared" si="17"/>
        <v>4.0136429050000002</v>
      </c>
      <c r="M23" s="511">
        <f t="shared" si="17"/>
        <v>6.6601726999999999E-2</v>
      </c>
      <c r="N23" s="512">
        <f t="shared" si="17"/>
        <v>0</v>
      </c>
      <c r="O23" s="491">
        <f t="shared" si="17"/>
        <v>0</v>
      </c>
      <c r="P23" s="492">
        <f t="shared" si="17"/>
        <v>0</v>
      </c>
    </row>
    <row r="24" spans="2:16" s="1" customFormat="1" x14ac:dyDescent="0.25">
      <c r="B24" s="515" t="s">
        <v>133</v>
      </c>
      <c r="C24" s="514" t="s">
        <v>600</v>
      </c>
      <c r="D24" s="490">
        <f t="shared" si="1"/>
        <v>0</v>
      </c>
      <c r="E24" s="500">
        <f>SUM(E47,E70,E109)</f>
        <v>0</v>
      </c>
      <c r="F24" s="516">
        <f t="shared" si="2"/>
        <v>0</v>
      </c>
      <c r="G24" s="517">
        <f t="shared" ref="G24:I25" si="18">SUM(G47,G70,G109)</f>
        <v>0</v>
      </c>
      <c r="H24" s="518">
        <f t="shared" si="18"/>
        <v>0</v>
      </c>
      <c r="I24" s="518">
        <f t="shared" si="18"/>
        <v>0</v>
      </c>
      <c r="J24" s="516">
        <f t="shared" si="3"/>
        <v>0</v>
      </c>
      <c r="K24" s="519">
        <f t="shared" ref="K24:P25" si="19">SUM(K47,K70,K109)</f>
        <v>0</v>
      </c>
      <c r="L24" s="520">
        <f t="shared" si="19"/>
        <v>0</v>
      </c>
      <c r="M24" s="520">
        <f t="shared" si="19"/>
        <v>0</v>
      </c>
      <c r="N24" s="521">
        <f t="shared" si="19"/>
        <v>0</v>
      </c>
      <c r="O24" s="522">
        <f t="shared" si="19"/>
        <v>0</v>
      </c>
      <c r="P24" s="523">
        <f t="shared" si="19"/>
        <v>0</v>
      </c>
    </row>
    <row r="25" spans="2:16" s="1" customFormat="1" ht="26.25" x14ac:dyDescent="0.25">
      <c r="B25" s="515" t="s">
        <v>135</v>
      </c>
      <c r="C25" s="524" t="s">
        <v>601</v>
      </c>
      <c r="D25" s="490">
        <f t="shared" si="1"/>
        <v>38.713561938000005</v>
      </c>
      <c r="E25" s="500">
        <f>SUM(E48,E71,E110)</f>
        <v>0</v>
      </c>
      <c r="F25" s="516">
        <f t="shared" si="2"/>
        <v>30.003636747000002</v>
      </c>
      <c r="G25" s="517">
        <f t="shared" si="18"/>
        <v>1.850273348</v>
      </c>
      <c r="H25" s="518">
        <f t="shared" si="18"/>
        <v>13.084570120000002</v>
      </c>
      <c r="I25" s="518">
        <f t="shared" si="18"/>
        <v>15.068793279000001</v>
      </c>
      <c r="J25" s="516">
        <f t="shared" si="3"/>
        <v>8.7099251910000017</v>
      </c>
      <c r="K25" s="519">
        <f t="shared" si="19"/>
        <v>4.6296805590000005</v>
      </c>
      <c r="L25" s="520">
        <f t="shared" si="19"/>
        <v>4.0136429050000002</v>
      </c>
      <c r="M25" s="520">
        <f t="shared" si="19"/>
        <v>6.6601726999999999E-2</v>
      </c>
      <c r="N25" s="521">
        <f t="shared" si="19"/>
        <v>0</v>
      </c>
      <c r="O25" s="522">
        <f t="shared" si="19"/>
        <v>0</v>
      </c>
      <c r="P25" s="523">
        <f t="shared" si="19"/>
        <v>0</v>
      </c>
    </row>
    <row r="26" spans="2:16" s="1" customFormat="1" x14ac:dyDescent="0.25">
      <c r="B26" s="488" t="s">
        <v>274</v>
      </c>
      <c r="C26" s="525" t="s">
        <v>39</v>
      </c>
      <c r="D26" s="526">
        <f t="shared" si="1"/>
        <v>74.389412535999995</v>
      </c>
      <c r="E26" s="527">
        <f>SUM(E27:E28)</f>
        <v>0</v>
      </c>
      <c r="F26" s="528">
        <f t="shared" si="2"/>
        <v>21.929418623999997</v>
      </c>
      <c r="G26" s="529">
        <f>SUM(G27:G28)</f>
        <v>4.2613402560000004</v>
      </c>
      <c r="H26" s="530">
        <f>SUM(H27:H28)</f>
        <v>14.154609431999999</v>
      </c>
      <c r="I26" s="531">
        <f>SUM(I27:I28)</f>
        <v>3.5134689359999998</v>
      </c>
      <c r="J26" s="528">
        <f t="shared" si="3"/>
        <v>52.459993911999995</v>
      </c>
      <c r="K26" s="529">
        <f t="shared" ref="K26:P26" si="20">SUM(K27:K28)</f>
        <v>50.207222343999995</v>
      </c>
      <c r="L26" s="530">
        <f t="shared" si="20"/>
        <v>1.8864672479999998</v>
      </c>
      <c r="M26" s="530">
        <f t="shared" si="20"/>
        <v>0.36630432000000002</v>
      </c>
      <c r="N26" s="532">
        <f t="shared" si="20"/>
        <v>0</v>
      </c>
      <c r="O26" s="527">
        <f t="shared" si="20"/>
        <v>0</v>
      </c>
      <c r="P26" s="528">
        <f t="shared" si="20"/>
        <v>0</v>
      </c>
    </row>
    <row r="27" spans="2:16" s="1" customFormat="1" x14ac:dyDescent="0.25">
      <c r="B27" s="533" t="s">
        <v>276</v>
      </c>
      <c r="C27" s="534" t="s">
        <v>41</v>
      </c>
      <c r="D27" s="535">
        <f t="shared" si="1"/>
        <v>0</v>
      </c>
      <c r="E27" s="500">
        <f>SUM(E50,E73,E112)</f>
        <v>0</v>
      </c>
      <c r="F27" s="536">
        <f t="shared" si="2"/>
        <v>0</v>
      </c>
      <c r="G27" s="537">
        <f t="shared" ref="G27:I28" si="21">SUM(G50,G73,G112)</f>
        <v>0</v>
      </c>
      <c r="H27" s="538">
        <f t="shared" si="21"/>
        <v>0</v>
      </c>
      <c r="I27" s="538">
        <f t="shared" si="21"/>
        <v>0</v>
      </c>
      <c r="J27" s="536">
        <f t="shared" si="3"/>
        <v>0</v>
      </c>
      <c r="K27" s="519">
        <f t="shared" ref="K27:P28" si="22">SUM(K50,K73,K112)</f>
        <v>0</v>
      </c>
      <c r="L27" s="520">
        <f t="shared" si="22"/>
        <v>0</v>
      </c>
      <c r="M27" s="520">
        <f t="shared" si="22"/>
        <v>0</v>
      </c>
      <c r="N27" s="521">
        <f t="shared" si="22"/>
        <v>0</v>
      </c>
      <c r="O27" s="539">
        <f t="shared" si="22"/>
        <v>0</v>
      </c>
      <c r="P27" s="540">
        <f t="shared" si="22"/>
        <v>0</v>
      </c>
    </row>
    <row r="28" spans="2:16" s="1" customFormat="1" ht="26.25" x14ac:dyDescent="0.25">
      <c r="B28" s="533" t="s">
        <v>278</v>
      </c>
      <c r="C28" s="541" t="s">
        <v>43</v>
      </c>
      <c r="D28" s="526">
        <f t="shared" si="1"/>
        <v>74.389412535999995</v>
      </c>
      <c r="E28" s="500">
        <f>SUM(E51,E74,E113)</f>
        <v>0</v>
      </c>
      <c r="F28" s="528">
        <f t="shared" si="2"/>
        <v>21.929418623999997</v>
      </c>
      <c r="G28" s="519">
        <f t="shared" si="21"/>
        <v>4.2613402560000004</v>
      </c>
      <c r="H28" s="520">
        <f t="shared" si="21"/>
        <v>14.154609431999999</v>
      </c>
      <c r="I28" s="520">
        <f t="shared" si="21"/>
        <v>3.5134689359999998</v>
      </c>
      <c r="J28" s="528">
        <f t="shared" si="3"/>
        <v>52.459993911999995</v>
      </c>
      <c r="K28" s="519">
        <f t="shared" si="22"/>
        <v>50.207222343999995</v>
      </c>
      <c r="L28" s="520">
        <f t="shared" si="22"/>
        <v>1.8864672479999998</v>
      </c>
      <c r="M28" s="520">
        <f t="shared" si="22"/>
        <v>0.36630432000000002</v>
      </c>
      <c r="N28" s="521">
        <f t="shared" si="22"/>
        <v>0</v>
      </c>
      <c r="O28" s="542">
        <f t="shared" si="22"/>
        <v>0</v>
      </c>
      <c r="P28" s="543">
        <f t="shared" si="22"/>
        <v>0</v>
      </c>
    </row>
    <row r="29" spans="2:16" s="1" customFormat="1" x14ac:dyDescent="0.25">
      <c r="B29" s="544" t="s">
        <v>282</v>
      </c>
      <c r="C29" s="545" t="s">
        <v>602</v>
      </c>
      <c r="D29" s="526">
        <f t="shared" si="1"/>
        <v>0</v>
      </c>
      <c r="E29" s="527">
        <f>SUM(E30:E32)</f>
        <v>0</v>
      </c>
      <c r="F29" s="528">
        <f t="shared" si="2"/>
        <v>0</v>
      </c>
      <c r="G29" s="529">
        <f>SUM(G30:G32)</f>
        <v>0</v>
      </c>
      <c r="H29" s="530">
        <f>SUM(H30:H32)</f>
        <v>0</v>
      </c>
      <c r="I29" s="531">
        <f>SUM(I30:I32)</f>
        <v>0</v>
      </c>
      <c r="J29" s="528">
        <f t="shared" si="3"/>
        <v>0</v>
      </c>
      <c r="K29" s="529">
        <f t="shared" ref="K29:P29" si="23">SUM(K30:K32)</f>
        <v>0</v>
      </c>
      <c r="L29" s="530">
        <f t="shared" si="23"/>
        <v>0</v>
      </c>
      <c r="M29" s="530">
        <f t="shared" si="23"/>
        <v>0</v>
      </c>
      <c r="N29" s="532">
        <f t="shared" si="23"/>
        <v>0</v>
      </c>
      <c r="O29" s="527">
        <f t="shared" si="23"/>
        <v>0</v>
      </c>
      <c r="P29" s="528">
        <f t="shared" si="23"/>
        <v>0</v>
      </c>
    </row>
    <row r="30" spans="2:16" s="1" customFormat="1" x14ac:dyDescent="0.25">
      <c r="B30" s="546" t="s">
        <v>284</v>
      </c>
      <c r="C30" s="547" t="s">
        <v>603</v>
      </c>
      <c r="D30" s="526">
        <f t="shared" si="1"/>
        <v>0</v>
      </c>
      <c r="E30" s="548">
        <f t="shared" ref="E30:E32" si="24">SUM(E53,E76,E115)</f>
        <v>0</v>
      </c>
      <c r="F30" s="528">
        <f t="shared" si="2"/>
        <v>0</v>
      </c>
      <c r="G30" s="519">
        <f t="shared" ref="G30:I32" si="25">SUM(G53,G76,G115)</f>
        <v>0</v>
      </c>
      <c r="H30" s="520">
        <f t="shared" si="25"/>
        <v>0</v>
      </c>
      <c r="I30" s="520">
        <f t="shared" si="25"/>
        <v>0</v>
      </c>
      <c r="J30" s="528">
        <f t="shared" si="3"/>
        <v>0</v>
      </c>
      <c r="K30" s="519">
        <f t="shared" ref="K30:P32" si="26">SUM(K53,K76,K115)</f>
        <v>0</v>
      </c>
      <c r="L30" s="520">
        <f t="shared" si="26"/>
        <v>0</v>
      </c>
      <c r="M30" s="520">
        <f t="shared" si="26"/>
        <v>0</v>
      </c>
      <c r="N30" s="521">
        <f t="shared" si="26"/>
        <v>0</v>
      </c>
      <c r="O30" s="542">
        <f t="shared" si="26"/>
        <v>0</v>
      </c>
      <c r="P30" s="543">
        <f t="shared" si="26"/>
        <v>0</v>
      </c>
    </row>
    <row r="31" spans="2:16" s="1" customFormat="1" x14ac:dyDescent="0.25">
      <c r="B31" s="546" t="s">
        <v>604</v>
      </c>
      <c r="C31" s="547" t="s">
        <v>603</v>
      </c>
      <c r="D31" s="526">
        <f t="shared" si="1"/>
        <v>0</v>
      </c>
      <c r="E31" s="548">
        <f t="shared" si="24"/>
        <v>0</v>
      </c>
      <c r="F31" s="528">
        <f t="shared" si="2"/>
        <v>0</v>
      </c>
      <c r="G31" s="519">
        <f t="shared" si="25"/>
        <v>0</v>
      </c>
      <c r="H31" s="520">
        <f t="shared" si="25"/>
        <v>0</v>
      </c>
      <c r="I31" s="520">
        <f t="shared" si="25"/>
        <v>0</v>
      </c>
      <c r="J31" s="528">
        <f t="shared" si="3"/>
        <v>0</v>
      </c>
      <c r="K31" s="519">
        <f t="shared" si="26"/>
        <v>0</v>
      </c>
      <c r="L31" s="520">
        <f t="shared" si="26"/>
        <v>0</v>
      </c>
      <c r="M31" s="520">
        <f t="shared" si="26"/>
        <v>0</v>
      </c>
      <c r="N31" s="521">
        <f t="shared" si="26"/>
        <v>0</v>
      </c>
      <c r="O31" s="542">
        <f t="shared" si="26"/>
        <v>0</v>
      </c>
      <c r="P31" s="543">
        <f t="shared" si="26"/>
        <v>0</v>
      </c>
    </row>
    <row r="32" spans="2:16" s="1" customFormat="1" ht="15.75" thickBot="1" x14ac:dyDescent="0.3">
      <c r="B32" s="549" t="s">
        <v>605</v>
      </c>
      <c r="C32" s="550" t="s">
        <v>603</v>
      </c>
      <c r="D32" s="551">
        <f t="shared" si="1"/>
        <v>0</v>
      </c>
      <c r="E32" s="552">
        <f t="shared" si="24"/>
        <v>0</v>
      </c>
      <c r="F32" s="553">
        <f t="shared" si="2"/>
        <v>0</v>
      </c>
      <c r="G32" s="554">
        <f t="shared" si="25"/>
        <v>0</v>
      </c>
      <c r="H32" s="555">
        <f t="shared" si="25"/>
        <v>0</v>
      </c>
      <c r="I32" s="555">
        <f t="shared" si="25"/>
        <v>0</v>
      </c>
      <c r="J32" s="553">
        <f t="shared" si="3"/>
        <v>0</v>
      </c>
      <c r="K32" s="537">
        <f t="shared" si="26"/>
        <v>0</v>
      </c>
      <c r="L32" s="538">
        <f t="shared" si="26"/>
        <v>0</v>
      </c>
      <c r="M32" s="538">
        <f t="shared" si="26"/>
        <v>0</v>
      </c>
      <c r="N32" s="556">
        <f t="shared" si="26"/>
        <v>0</v>
      </c>
      <c r="O32" s="557">
        <f t="shared" si="26"/>
        <v>0</v>
      </c>
      <c r="P32" s="558">
        <f t="shared" si="26"/>
        <v>0</v>
      </c>
    </row>
    <row r="33" spans="2:16" s="1" customFormat="1" ht="16.5" thickTop="1" thickBot="1" x14ac:dyDescent="0.3">
      <c r="B33" s="478" t="s">
        <v>53</v>
      </c>
      <c r="C33" s="479" t="s">
        <v>606</v>
      </c>
      <c r="D33" s="480">
        <f t="shared" si="1"/>
        <v>2525.8991299999998</v>
      </c>
      <c r="E33" s="481">
        <f t="shared" ref="E33:P33" si="27">E34+E38+E43+E46+E49+E52</f>
        <v>0</v>
      </c>
      <c r="F33" s="482">
        <f t="shared" si="27"/>
        <v>1021.7762500000001</v>
      </c>
      <c r="G33" s="483">
        <f t="shared" si="27"/>
        <v>53.686749999999996</v>
      </c>
      <c r="H33" s="484">
        <f t="shared" si="27"/>
        <v>178.33823000000001</v>
      </c>
      <c r="I33" s="485">
        <f t="shared" si="27"/>
        <v>789.75126999999998</v>
      </c>
      <c r="J33" s="482">
        <f t="shared" si="27"/>
        <v>1504.1228799999999</v>
      </c>
      <c r="K33" s="483">
        <f t="shared" si="27"/>
        <v>1475.76962</v>
      </c>
      <c r="L33" s="484">
        <f t="shared" si="27"/>
        <v>23.75243</v>
      </c>
      <c r="M33" s="484">
        <f t="shared" si="27"/>
        <v>4.6008300000000002</v>
      </c>
      <c r="N33" s="559">
        <f t="shared" si="27"/>
        <v>0</v>
      </c>
      <c r="O33" s="481">
        <f t="shared" si="27"/>
        <v>0</v>
      </c>
      <c r="P33" s="482">
        <f t="shared" si="27"/>
        <v>0</v>
      </c>
    </row>
    <row r="34" spans="2:16" s="1" customFormat="1" ht="15.75" thickTop="1" x14ac:dyDescent="0.25">
      <c r="B34" s="488" t="s">
        <v>55</v>
      </c>
      <c r="C34" s="489" t="s">
        <v>8</v>
      </c>
      <c r="D34" s="490">
        <f t="shared" si="1"/>
        <v>0</v>
      </c>
      <c r="E34" s="491">
        <f>SUM(E35:E37)</f>
        <v>0</v>
      </c>
      <c r="F34" s="492">
        <f t="shared" ref="F34:F55" si="28">SUM(G34:I34)</f>
        <v>0</v>
      </c>
      <c r="G34" s="493">
        <f>SUM(G35:G37)</f>
        <v>0</v>
      </c>
      <c r="H34" s="494">
        <f>SUM(H35:H37)</f>
        <v>0</v>
      </c>
      <c r="I34" s="495">
        <f>SUM(I35:I37)</f>
        <v>0</v>
      </c>
      <c r="J34" s="492">
        <f t="shared" ref="J34:J55" si="29">SUM(K34:M34)</f>
        <v>0</v>
      </c>
      <c r="K34" s="493">
        <f t="shared" ref="K34:P34" si="30">SUM(K35:K37)</f>
        <v>0</v>
      </c>
      <c r="L34" s="494">
        <f t="shared" si="30"/>
        <v>0</v>
      </c>
      <c r="M34" s="494">
        <f t="shared" si="30"/>
        <v>0</v>
      </c>
      <c r="N34" s="560">
        <f t="shared" si="30"/>
        <v>0</v>
      </c>
      <c r="O34" s="491">
        <f t="shared" si="30"/>
        <v>0</v>
      </c>
      <c r="P34" s="492">
        <f t="shared" si="30"/>
        <v>0</v>
      </c>
    </row>
    <row r="35" spans="2:16" s="1" customFormat="1" x14ac:dyDescent="0.25">
      <c r="B35" s="498" t="s">
        <v>138</v>
      </c>
      <c r="C35" s="499" t="s">
        <v>10</v>
      </c>
      <c r="D35" s="490">
        <f t="shared" si="1"/>
        <v>0</v>
      </c>
      <c r="E35" s="561"/>
      <c r="F35" s="492">
        <f t="shared" si="28"/>
        <v>0</v>
      </c>
      <c r="G35" s="305"/>
      <c r="H35" s="306"/>
      <c r="I35" s="562"/>
      <c r="J35" s="492">
        <f t="shared" si="29"/>
        <v>0</v>
      </c>
      <c r="K35" s="305"/>
      <c r="L35" s="306"/>
      <c r="M35" s="307"/>
      <c r="N35" s="561"/>
      <c r="O35" s="563"/>
      <c r="P35" s="564"/>
    </row>
    <row r="36" spans="2:16" s="1" customFormat="1" x14ac:dyDescent="0.25">
      <c r="B36" s="498" t="s">
        <v>140</v>
      </c>
      <c r="C36" s="499" t="s">
        <v>11</v>
      </c>
      <c r="D36" s="490">
        <f t="shared" si="1"/>
        <v>0</v>
      </c>
      <c r="E36" s="561"/>
      <c r="F36" s="492">
        <f t="shared" si="28"/>
        <v>0</v>
      </c>
      <c r="G36" s="305"/>
      <c r="H36" s="306"/>
      <c r="I36" s="562"/>
      <c r="J36" s="492">
        <f t="shared" si="29"/>
        <v>0</v>
      </c>
      <c r="K36" s="305"/>
      <c r="L36" s="306"/>
      <c r="M36" s="307"/>
      <c r="N36" s="561"/>
      <c r="O36" s="563"/>
      <c r="P36" s="564"/>
    </row>
    <row r="37" spans="2:16" s="1" customFormat="1" x14ac:dyDescent="0.25">
      <c r="B37" s="498" t="s">
        <v>607</v>
      </c>
      <c r="C37" s="499" t="s">
        <v>13</v>
      </c>
      <c r="D37" s="490">
        <f t="shared" si="1"/>
        <v>0</v>
      </c>
      <c r="E37" s="561"/>
      <c r="F37" s="492">
        <f t="shared" si="28"/>
        <v>0</v>
      </c>
      <c r="G37" s="305"/>
      <c r="H37" s="306"/>
      <c r="I37" s="562"/>
      <c r="J37" s="492">
        <f t="shared" si="29"/>
        <v>0</v>
      </c>
      <c r="K37" s="305"/>
      <c r="L37" s="306"/>
      <c r="M37" s="307"/>
      <c r="N37" s="561"/>
      <c r="O37" s="563"/>
      <c r="P37" s="564"/>
    </row>
    <row r="38" spans="2:16" s="1" customFormat="1" x14ac:dyDescent="0.25">
      <c r="B38" s="488" t="s">
        <v>141</v>
      </c>
      <c r="C38" s="509" t="s">
        <v>15</v>
      </c>
      <c r="D38" s="490">
        <f t="shared" si="1"/>
        <v>2262.72984</v>
      </c>
      <c r="E38" s="491">
        <f>SUM(E39:E42)</f>
        <v>0</v>
      </c>
      <c r="F38" s="492">
        <f t="shared" si="28"/>
        <v>843.14205000000004</v>
      </c>
      <c r="G38" s="493">
        <f>SUM(G39:G42)</f>
        <v>45.567630000000001</v>
      </c>
      <c r="H38" s="494">
        <f>SUM(H39:H42)</f>
        <v>51.830010000000001</v>
      </c>
      <c r="I38" s="495">
        <f>SUM(I39:I42)</f>
        <v>745.74441000000002</v>
      </c>
      <c r="J38" s="492">
        <f t="shared" si="29"/>
        <v>1419.5877899999998</v>
      </c>
      <c r="K38" s="493">
        <f t="shared" ref="K38:P38" si="31">SUM(K39:K42)</f>
        <v>1416.0086799999999</v>
      </c>
      <c r="L38" s="494">
        <f t="shared" si="31"/>
        <v>3.57911</v>
      </c>
      <c r="M38" s="496">
        <f t="shared" si="31"/>
        <v>0</v>
      </c>
      <c r="N38" s="491">
        <f t="shared" si="31"/>
        <v>0</v>
      </c>
      <c r="O38" s="497">
        <f t="shared" si="31"/>
        <v>0</v>
      </c>
      <c r="P38" s="492">
        <f t="shared" si="31"/>
        <v>0</v>
      </c>
    </row>
    <row r="39" spans="2:16" s="1" customFormat="1" x14ac:dyDescent="0.25">
      <c r="B39" s="498" t="s">
        <v>143</v>
      </c>
      <c r="C39" s="499" t="s">
        <v>17</v>
      </c>
      <c r="D39" s="490">
        <f t="shared" si="1"/>
        <v>58.660449999999997</v>
      </c>
      <c r="E39" s="561"/>
      <c r="F39" s="492">
        <f t="shared" si="28"/>
        <v>56.906790000000001</v>
      </c>
      <c r="G39" s="305">
        <v>5.0767800000000003</v>
      </c>
      <c r="H39" s="306">
        <v>51.830010000000001</v>
      </c>
      <c r="I39" s="562"/>
      <c r="J39" s="492">
        <f t="shared" si="29"/>
        <v>1.75366</v>
      </c>
      <c r="K39" s="305">
        <v>0.36465999999999998</v>
      </c>
      <c r="L39" s="306">
        <v>1.389</v>
      </c>
      <c r="M39" s="307"/>
      <c r="N39" s="561"/>
      <c r="O39" s="563"/>
      <c r="P39" s="564"/>
    </row>
    <row r="40" spans="2:16" s="1" customFormat="1" x14ac:dyDescent="0.25">
      <c r="B40" s="498" t="s">
        <v>145</v>
      </c>
      <c r="C40" s="499" t="s">
        <v>597</v>
      </c>
      <c r="D40" s="490">
        <f t="shared" si="1"/>
        <v>10.3576</v>
      </c>
      <c r="E40" s="561"/>
      <c r="F40" s="492">
        <f t="shared" si="28"/>
        <v>10.3576</v>
      </c>
      <c r="G40" s="305">
        <v>10.3576</v>
      </c>
      <c r="H40" s="306"/>
      <c r="I40" s="562"/>
      <c r="J40" s="492">
        <f t="shared" si="29"/>
        <v>0</v>
      </c>
      <c r="K40" s="305"/>
      <c r="L40" s="306"/>
      <c r="M40" s="307"/>
      <c r="N40" s="561"/>
      <c r="O40" s="563"/>
      <c r="P40" s="564"/>
    </row>
    <row r="41" spans="2:16" s="1" customFormat="1" x14ac:dyDescent="0.25">
      <c r="B41" s="498" t="s">
        <v>608</v>
      </c>
      <c r="C41" s="499" t="s">
        <v>23</v>
      </c>
      <c r="D41" s="490">
        <f t="shared" si="1"/>
        <v>2141.26802</v>
      </c>
      <c r="E41" s="561"/>
      <c r="F41" s="492">
        <f t="shared" si="28"/>
        <v>745.46441000000004</v>
      </c>
      <c r="G41" s="305"/>
      <c r="H41" s="306"/>
      <c r="I41" s="562">
        <v>745.46441000000004</v>
      </c>
      <c r="J41" s="492">
        <f t="shared" si="29"/>
        <v>1395.8036099999999</v>
      </c>
      <c r="K41" s="305">
        <v>1395.8036099999999</v>
      </c>
      <c r="L41" s="306"/>
      <c r="M41" s="307"/>
      <c r="N41" s="561"/>
      <c r="O41" s="563"/>
      <c r="P41" s="564"/>
    </row>
    <row r="42" spans="2:16" s="1" customFormat="1" ht="38.25" x14ac:dyDescent="0.25">
      <c r="B42" s="498" t="s">
        <v>609</v>
      </c>
      <c r="C42" s="499" t="s">
        <v>599</v>
      </c>
      <c r="D42" s="490">
        <f t="shared" si="1"/>
        <v>52.443770000000001</v>
      </c>
      <c r="E42" s="561"/>
      <c r="F42" s="492">
        <f t="shared" si="28"/>
        <v>30.413250000000001</v>
      </c>
      <c r="G42" s="305">
        <v>30.13325</v>
      </c>
      <c r="H42" s="306"/>
      <c r="I42" s="562">
        <v>0.28000000000000003</v>
      </c>
      <c r="J42" s="492">
        <f t="shared" si="29"/>
        <v>22.030519999999999</v>
      </c>
      <c r="K42" s="305">
        <v>19.840409999999999</v>
      </c>
      <c r="L42" s="306">
        <v>2.1901099999999998</v>
      </c>
      <c r="M42" s="307"/>
      <c r="N42" s="561"/>
      <c r="O42" s="563"/>
      <c r="P42" s="564"/>
    </row>
    <row r="43" spans="2:16" s="1" customFormat="1" x14ac:dyDescent="0.25">
      <c r="B43" s="488" t="s">
        <v>302</v>
      </c>
      <c r="C43" s="513" t="s">
        <v>27</v>
      </c>
      <c r="D43" s="490">
        <f t="shared" si="1"/>
        <v>190.56151</v>
      </c>
      <c r="E43" s="491">
        <f>SUM(E44:E45)</f>
        <v>0</v>
      </c>
      <c r="F43" s="492">
        <f t="shared" si="28"/>
        <v>154.29551000000001</v>
      </c>
      <c r="G43" s="493">
        <f>SUM(G44:G45)</f>
        <v>7.0850799999999996</v>
      </c>
      <c r="H43" s="494">
        <f>SUM(H44:H45)</f>
        <v>116.13567</v>
      </c>
      <c r="I43" s="495">
        <f>SUM(I44:I45)</f>
        <v>31.074760000000001</v>
      </c>
      <c r="J43" s="492">
        <f t="shared" si="29"/>
        <v>36.265999999999998</v>
      </c>
      <c r="K43" s="493">
        <f t="shared" ref="K43:P43" si="32">SUM(K44:K45)</f>
        <v>15.162939999999999</v>
      </c>
      <c r="L43" s="494">
        <f t="shared" si="32"/>
        <v>16.502230000000001</v>
      </c>
      <c r="M43" s="496">
        <f t="shared" si="32"/>
        <v>4.6008300000000002</v>
      </c>
      <c r="N43" s="491">
        <f t="shared" si="32"/>
        <v>0</v>
      </c>
      <c r="O43" s="497">
        <f t="shared" si="32"/>
        <v>0</v>
      </c>
      <c r="P43" s="492">
        <f t="shared" si="32"/>
        <v>0</v>
      </c>
    </row>
    <row r="44" spans="2:16" s="1" customFormat="1" ht="51.75" x14ac:dyDescent="0.25">
      <c r="B44" s="498" t="s">
        <v>304</v>
      </c>
      <c r="C44" s="514" t="s">
        <v>29</v>
      </c>
      <c r="D44" s="490">
        <f t="shared" si="1"/>
        <v>181.95926</v>
      </c>
      <c r="E44" s="561"/>
      <c r="F44" s="492">
        <f t="shared" si="28"/>
        <v>154.29551000000001</v>
      </c>
      <c r="G44" s="305">
        <v>7.0850799999999996</v>
      </c>
      <c r="H44" s="306">
        <v>116.13567</v>
      </c>
      <c r="I44" s="562">
        <v>31.074760000000001</v>
      </c>
      <c r="J44" s="492">
        <f t="shared" si="29"/>
        <v>27.66375</v>
      </c>
      <c r="K44" s="305">
        <v>8.6011600000000001</v>
      </c>
      <c r="L44" s="306">
        <v>14.46176</v>
      </c>
      <c r="M44" s="307">
        <v>4.6008300000000002</v>
      </c>
      <c r="N44" s="561"/>
      <c r="O44" s="563"/>
      <c r="P44" s="564"/>
    </row>
    <row r="45" spans="2:16" s="1" customFormat="1" x14ac:dyDescent="0.25">
      <c r="B45" s="498" t="s">
        <v>305</v>
      </c>
      <c r="C45" s="514" t="s">
        <v>31</v>
      </c>
      <c r="D45" s="490">
        <f t="shared" si="1"/>
        <v>8.6022499999999997</v>
      </c>
      <c r="E45" s="561"/>
      <c r="F45" s="492">
        <f t="shared" si="28"/>
        <v>0</v>
      </c>
      <c r="G45" s="305"/>
      <c r="H45" s="306"/>
      <c r="I45" s="562"/>
      <c r="J45" s="492">
        <f t="shared" si="29"/>
        <v>8.6022499999999997</v>
      </c>
      <c r="K45" s="305">
        <v>6.5617799999999997</v>
      </c>
      <c r="L45" s="306">
        <v>2.04047</v>
      </c>
      <c r="M45" s="307"/>
      <c r="N45" s="561"/>
      <c r="O45" s="563"/>
      <c r="P45" s="564"/>
    </row>
    <row r="46" spans="2:16" s="1" customFormat="1" x14ac:dyDescent="0.25">
      <c r="B46" s="488" t="s">
        <v>307</v>
      </c>
      <c r="C46" s="513" t="s">
        <v>33</v>
      </c>
      <c r="D46" s="490">
        <f t="shared" si="1"/>
        <v>28.746780000000001</v>
      </c>
      <c r="E46" s="491">
        <f>SUM(E47:E48)</f>
        <v>0</v>
      </c>
      <c r="F46" s="492">
        <f t="shared" si="28"/>
        <v>24.33869</v>
      </c>
      <c r="G46" s="493">
        <f>SUM(G47:G48)</f>
        <v>1.0340400000000001</v>
      </c>
      <c r="H46" s="494">
        <f>SUM(H47:H48)</f>
        <v>10.37255</v>
      </c>
      <c r="I46" s="495">
        <f>SUM(I47:I48)</f>
        <v>12.9321</v>
      </c>
      <c r="J46" s="492">
        <f t="shared" si="29"/>
        <v>4.4080899999999996</v>
      </c>
      <c r="K46" s="493">
        <f t="shared" ref="K46:P46" si="33">SUM(K47:K48)</f>
        <v>0.73699999999999999</v>
      </c>
      <c r="L46" s="494">
        <f t="shared" si="33"/>
        <v>3.67109</v>
      </c>
      <c r="M46" s="496">
        <f t="shared" si="33"/>
        <v>0</v>
      </c>
      <c r="N46" s="491">
        <f t="shared" si="33"/>
        <v>0</v>
      </c>
      <c r="O46" s="497">
        <f t="shared" si="33"/>
        <v>0</v>
      </c>
      <c r="P46" s="492">
        <f t="shared" si="33"/>
        <v>0</v>
      </c>
    </row>
    <row r="47" spans="2:16" s="1" customFormat="1" x14ac:dyDescent="0.25">
      <c r="B47" s="498" t="s">
        <v>308</v>
      </c>
      <c r="C47" s="514" t="s">
        <v>600</v>
      </c>
      <c r="D47" s="490">
        <f t="shared" si="1"/>
        <v>0</v>
      </c>
      <c r="E47" s="565"/>
      <c r="F47" s="516">
        <f t="shared" si="28"/>
        <v>0</v>
      </c>
      <c r="G47" s="566"/>
      <c r="H47" s="567"/>
      <c r="I47" s="568"/>
      <c r="J47" s="516">
        <f t="shared" si="29"/>
        <v>0</v>
      </c>
      <c r="K47" s="566"/>
      <c r="L47" s="567"/>
      <c r="M47" s="569"/>
      <c r="N47" s="565"/>
      <c r="O47" s="563"/>
      <c r="P47" s="564"/>
    </row>
    <row r="48" spans="2:16" s="1" customFormat="1" ht="26.25" x14ac:dyDescent="0.25">
      <c r="B48" s="515" t="s">
        <v>308</v>
      </c>
      <c r="C48" s="570" t="s">
        <v>601</v>
      </c>
      <c r="D48" s="490">
        <f t="shared" si="1"/>
        <v>28.746780000000001</v>
      </c>
      <c r="E48" s="565"/>
      <c r="F48" s="516">
        <f t="shared" si="28"/>
        <v>24.33869</v>
      </c>
      <c r="G48" s="566">
        <v>1.0340400000000001</v>
      </c>
      <c r="H48" s="567">
        <v>10.37255</v>
      </c>
      <c r="I48" s="568">
        <v>12.9321</v>
      </c>
      <c r="J48" s="516">
        <f t="shared" si="29"/>
        <v>4.4080899999999996</v>
      </c>
      <c r="K48" s="566">
        <v>0.73699999999999999</v>
      </c>
      <c r="L48" s="567">
        <v>3.67109</v>
      </c>
      <c r="M48" s="569"/>
      <c r="N48" s="565"/>
      <c r="O48" s="563"/>
      <c r="P48" s="564"/>
    </row>
    <row r="49" spans="2:17" s="1" customFormat="1" x14ac:dyDescent="0.25">
      <c r="B49" s="488" t="s">
        <v>312</v>
      </c>
      <c r="C49" s="525" t="s">
        <v>39</v>
      </c>
      <c r="D49" s="526">
        <f t="shared" si="1"/>
        <v>43.860999999999997</v>
      </c>
      <c r="E49" s="527">
        <f>SUM(E50:E51)</f>
        <v>0</v>
      </c>
      <c r="F49" s="528">
        <f t="shared" si="28"/>
        <v>0</v>
      </c>
      <c r="G49" s="529">
        <f>SUM(G50:G51)</f>
        <v>0</v>
      </c>
      <c r="H49" s="530">
        <f>SUM(H50:H51)</f>
        <v>0</v>
      </c>
      <c r="I49" s="531">
        <f>SUM(I50:I51)</f>
        <v>0</v>
      </c>
      <c r="J49" s="528">
        <f t="shared" si="29"/>
        <v>43.860999999999997</v>
      </c>
      <c r="K49" s="529">
        <f t="shared" ref="K49:P49" si="34">SUM(K50:K51)</f>
        <v>43.860999999999997</v>
      </c>
      <c r="L49" s="530">
        <f t="shared" si="34"/>
        <v>0</v>
      </c>
      <c r="M49" s="571">
        <f t="shared" si="34"/>
        <v>0</v>
      </c>
      <c r="N49" s="527">
        <f t="shared" si="34"/>
        <v>0</v>
      </c>
      <c r="O49" s="572">
        <f t="shared" si="34"/>
        <v>0</v>
      </c>
      <c r="P49" s="528">
        <f t="shared" si="34"/>
        <v>0</v>
      </c>
    </row>
    <row r="50" spans="2:17" s="1" customFormat="1" x14ac:dyDescent="0.25">
      <c r="B50" s="533" t="s">
        <v>314</v>
      </c>
      <c r="C50" s="534" t="s">
        <v>41</v>
      </c>
      <c r="D50" s="535">
        <f t="shared" si="1"/>
        <v>0</v>
      </c>
      <c r="E50" s="573"/>
      <c r="F50" s="536">
        <f t="shared" si="28"/>
        <v>0</v>
      </c>
      <c r="G50" s="574"/>
      <c r="H50" s="575"/>
      <c r="I50" s="576"/>
      <c r="J50" s="536">
        <f t="shared" si="29"/>
        <v>0</v>
      </c>
      <c r="K50" s="574"/>
      <c r="L50" s="575"/>
      <c r="M50" s="577"/>
      <c r="N50" s="573"/>
      <c r="O50" s="563"/>
      <c r="P50" s="564"/>
    </row>
    <row r="51" spans="2:17" s="1" customFormat="1" ht="26.25" x14ac:dyDescent="0.25">
      <c r="B51" s="533" t="s">
        <v>316</v>
      </c>
      <c r="C51" s="541" t="s">
        <v>43</v>
      </c>
      <c r="D51" s="526">
        <f t="shared" si="1"/>
        <v>43.860999999999997</v>
      </c>
      <c r="E51" s="578"/>
      <c r="F51" s="528">
        <f t="shared" si="28"/>
        <v>0</v>
      </c>
      <c r="G51" s="579"/>
      <c r="H51" s="580"/>
      <c r="I51" s="581"/>
      <c r="J51" s="528">
        <f t="shared" si="29"/>
        <v>43.860999999999997</v>
      </c>
      <c r="K51" s="579">
        <v>43.860999999999997</v>
      </c>
      <c r="L51" s="580"/>
      <c r="M51" s="582"/>
      <c r="N51" s="578"/>
      <c r="O51" s="563"/>
      <c r="P51" s="564"/>
    </row>
    <row r="52" spans="2:17" s="1" customFormat="1" x14ac:dyDescent="0.25">
      <c r="B52" s="544" t="s">
        <v>318</v>
      </c>
      <c r="C52" s="545" t="s">
        <v>602</v>
      </c>
      <c r="D52" s="526">
        <f t="shared" si="1"/>
        <v>0</v>
      </c>
      <c r="E52" s="527">
        <f>SUM(E53:E55)</f>
        <v>0</v>
      </c>
      <c r="F52" s="528">
        <f t="shared" si="28"/>
        <v>0</v>
      </c>
      <c r="G52" s="529">
        <f>SUM(G53:G55)</f>
        <v>0</v>
      </c>
      <c r="H52" s="530">
        <f>SUM(H53:H55)</f>
        <v>0</v>
      </c>
      <c r="I52" s="531">
        <f>SUM(I53:I55)</f>
        <v>0</v>
      </c>
      <c r="J52" s="528">
        <f t="shared" si="29"/>
        <v>0</v>
      </c>
      <c r="K52" s="529">
        <f t="shared" ref="K52:P52" si="35">SUM(K53:K55)</f>
        <v>0</v>
      </c>
      <c r="L52" s="530">
        <f t="shared" si="35"/>
        <v>0</v>
      </c>
      <c r="M52" s="571">
        <f t="shared" si="35"/>
        <v>0</v>
      </c>
      <c r="N52" s="527">
        <f t="shared" si="35"/>
        <v>0</v>
      </c>
      <c r="O52" s="572">
        <f t="shared" si="35"/>
        <v>0</v>
      </c>
      <c r="P52" s="528">
        <f t="shared" si="35"/>
        <v>0</v>
      </c>
    </row>
    <row r="53" spans="2:17" s="1" customFormat="1" x14ac:dyDescent="0.25">
      <c r="B53" s="546" t="s">
        <v>320</v>
      </c>
      <c r="C53" s="547" t="s">
        <v>603</v>
      </c>
      <c r="D53" s="526">
        <f t="shared" si="1"/>
        <v>0</v>
      </c>
      <c r="E53" s="578"/>
      <c r="F53" s="528">
        <f t="shared" si="28"/>
        <v>0</v>
      </c>
      <c r="G53" s="579"/>
      <c r="H53" s="580"/>
      <c r="I53" s="581"/>
      <c r="J53" s="528">
        <f t="shared" si="29"/>
        <v>0</v>
      </c>
      <c r="K53" s="579"/>
      <c r="L53" s="580"/>
      <c r="M53" s="582"/>
      <c r="N53" s="578"/>
      <c r="O53" s="563"/>
      <c r="P53" s="564"/>
    </row>
    <row r="54" spans="2:17" s="1" customFormat="1" x14ac:dyDescent="0.25">
      <c r="B54" s="546" t="s">
        <v>610</v>
      </c>
      <c r="C54" s="547" t="s">
        <v>603</v>
      </c>
      <c r="D54" s="526">
        <f t="shared" si="1"/>
        <v>0</v>
      </c>
      <c r="E54" s="578"/>
      <c r="F54" s="528">
        <f t="shared" si="28"/>
        <v>0</v>
      </c>
      <c r="G54" s="579"/>
      <c r="H54" s="580"/>
      <c r="I54" s="581"/>
      <c r="J54" s="528">
        <f t="shared" si="29"/>
        <v>0</v>
      </c>
      <c r="K54" s="579"/>
      <c r="L54" s="580"/>
      <c r="M54" s="582"/>
      <c r="N54" s="578"/>
      <c r="O54" s="563"/>
      <c r="P54" s="564"/>
    </row>
    <row r="55" spans="2:17" s="1" customFormat="1" ht="15.75" thickBot="1" x14ac:dyDescent="0.3">
      <c r="B55" s="549" t="s">
        <v>611</v>
      </c>
      <c r="C55" s="550" t="s">
        <v>603</v>
      </c>
      <c r="D55" s="551">
        <f t="shared" si="1"/>
        <v>0</v>
      </c>
      <c r="E55" s="583"/>
      <c r="F55" s="553">
        <f t="shared" si="28"/>
        <v>0</v>
      </c>
      <c r="G55" s="584"/>
      <c r="H55" s="585"/>
      <c r="I55" s="586"/>
      <c r="J55" s="553">
        <f t="shared" si="29"/>
        <v>0</v>
      </c>
      <c r="K55" s="584"/>
      <c r="L55" s="585"/>
      <c r="M55" s="587"/>
      <c r="N55" s="588"/>
      <c r="O55" s="589"/>
      <c r="P55" s="590"/>
    </row>
    <row r="56" spans="2:17" s="1" customFormat="1" ht="16.5" thickTop="1" thickBot="1" x14ac:dyDescent="0.3">
      <c r="B56" s="478" t="s">
        <v>59</v>
      </c>
      <c r="C56" s="479" t="s">
        <v>612</v>
      </c>
      <c r="D56" s="480">
        <f t="shared" ref="D56:P56" si="36">D57+D61+D66+D69+D72+D75</f>
        <v>146.87959000000001</v>
      </c>
      <c r="E56" s="481">
        <f t="shared" si="36"/>
        <v>0</v>
      </c>
      <c r="F56" s="482">
        <f t="shared" si="36"/>
        <v>136.95467121600001</v>
      </c>
      <c r="G56" s="483">
        <f t="shared" si="36"/>
        <v>26.610817059000002</v>
      </c>
      <c r="H56" s="484">
        <f t="shared" si="36"/>
        <v>88.392118128000007</v>
      </c>
      <c r="I56" s="485">
        <f t="shared" si="36"/>
        <v>21.951736028999999</v>
      </c>
      <c r="J56" s="482">
        <f t="shared" si="36"/>
        <v>9.9284432579999997</v>
      </c>
      <c r="K56" s="483">
        <f t="shared" si="36"/>
        <v>7.3273814459999995</v>
      </c>
      <c r="L56" s="484">
        <f t="shared" si="36"/>
        <v>2.1781249319999998</v>
      </c>
      <c r="M56" s="486">
        <f t="shared" si="36"/>
        <v>0.42293688000000002</v>
      </c>
      <c r="N56" s="481">
        <f t="shared" si="36"/>
        <v>0</v>
      </c>
      <c r="O56" s="487">
        <f t="shared" si="36"/>
        <v>0</v>
      </c>
      <c r="P56" s="482">
        <f t="shared" si="36"/>
        <v>0</v>
      </c>
      <c r="Q56" s="591"/>
    </row>
    <row r="57" spans="2:17" s="1" customFormat="1" ht="15.75" thickTop="1" x14ac:dyDescent="0.25">
      <c r="B57" s="488" t="s">
        <v>150</v>
      </c>
      <c r="C57" s="489" t="s">
        <v>8</v>
      </c>
      <c r="D57" s="490">
        <f>SUM(D58:D60)</f>
        <v>0</v>
      </c>
      <c r="E57" s="491">
        <f>SUM(E58:E60)</f>
        <v>0</v>
      </c>
      <c r="F57" s="492">
        <f t="shared" ref="F57:F78" si="37">SUM(G57:I57)</f>
        <v>0</v>
      </c>
      <c r="G57" s="493">
        <f>SUM(G58:G60)</f>
        <v>0</v>
      </c>
      <c r="H57" s="494">
        <f>SUM(H58:H60)</f>
        <v>0</v>
      </c>
      <c r="I57" s="495">
        <f>SUM(I58:I60)</f>
        <v>0</v>
      </c>
      <c r="J57" s="492">
        <f t="shared" ref="J57:J78" si="38">SUM(K57:M57)</f>
        <v>0</v>
      </c>
      <c r="K57" s="493">
        <f t="shared" ref="K57:P57" si="39">SUM(K58:K60)</f>
        <v>0</v>
      </c>
      <c r="L57" s="494">
        <f t="shared" si="39"/>
        <v>0</v>
      </c>
      <c r="M57" s="496">
        <f t="shared" si="39"/>
        <v>0</v>
      </c>
      <c r="N57" s="491">
        <f t="shared" si="39"/>
        <v>0</v>
      </c>
      <c r="O57" s="497">
        <f t="shared" si="39"/>
        <v>0</v>
      </c>
      <c r="P57" s="492">
        <f t="shared" si="39"/>
        <v>0</v>
      </c>
    </row>
    <row r="58" spans="2:17" s="1" customFormat="1" x14ac:dyDescent="0.25">
      <c r="B58" s="498" t="s">
        <v>410</v>
      </c>
      <c r="C58" s="499" t="s">
        <v>10</v>
      </c>
      <c r="D58" s="592"/>
      <c r="E58" s="593">
        <f>IFERROR($D58*E80/100, 0)</f>
        <v>0</v>
      </c>
      <c r="F58" s="508">
        <f t="shared" si="37"/>
        <v>0</v>
      </c>
      <c r="G58" s="501">
        <f t="shared" ref="G58:I60" si="40">IFERROR($D58*G80/100, 0)</f>
        <v>0</v>
      </c>
      <c r="H58" s="502">
        <f t="shared" si="40"/>
        <v>0</v>
      </c>
      <c r="I58" s="594">
        <f t="shared" si="40"/>
        <v>0</v>
      </c>
      <c r="J58" s="508">
        <f t="shared" si="38"/>
        <v>0</v>
      </c>
      <c r="K58" s="501">
        <f t="shared" ref="K58:P60" si="41">IFERROR($D58*K80/100, 0)</f>
        <v>0</v>
      </c>
      <c r="L58" s="502">
        <f t="shared" si="41"/>
        <v>0</v>
      </c>
      <c r="M58" s="595">
        <f t="shared" si="41"/>
        <v>0</v>
      </c>
      <c r="N58" s="593">
        <f t="shared" si="41"/>
        <v>0</v>
      </c>
      <c r="O58" s="596">
        <f t="shared" si="41"/>
        <v>0</v>
      </c>
      <c r="P58" s="508">
        <f t="shared" si="41"/>
        <v>0</v>
      </c>
    </row>
    <row r="59" spans="2:17" s="1" customFormat="1" x14ac:dyDescent="0.25">
      <c r="B59" s="498" t="s">
        <v>411</v>
      </c>
      <c r="C59" s="499" t="s">
        <v>11</v>
      </c>
      <c r="D59" s="592"/>
      <c r="E59" s="593">
        <f>IFERROR($D59*E81/100, 0)</f>
        <v>0</v>
      </c>
      <c r="F59" s="508">
        <f t="shared" si="37"/>
        <v>0</v>
      </c>
      <c r="G59" s="501">
        <f t="shared" si="40"/>
        <v>0</v>
      </c>
      <c r="H59" s="502">
        <f t="shared" si="40"/>
        <v>0</v>
      </c>
      <c r="I59" s="594">
        <f t="shared" si="40"/>
        <v>0</v>
      </c>
      <c r="J59" s="508">
        <f t="shared" si="38"/>
        <v>0</v>
      </c>
      <c r="K59" s="501">
        <f t="shared" si="41"/>
        <v>0</v>
      </c>
      <c r="L59" s="502">
        <f t="shared" si="41"/>
        <v>0</v>
      </c>
      <c r="M59" s="595">
        <f t="shared" si="41"/>
        <v>0</v>
      </c>
      <c r="N59" s="593">
        <f t="shared" si="41"/>
        <v>0</v>
      </c>
      <c r="O59" s="596">
        <f t="shared" si="41"/>
        <v>0</v>
      </c>
      <c r="P59" s="508">
        <f t="shared" si="41"/>
        <v>0</v>
      </c>
    </row>
    <row r="60" spans="2:17" s="1" customFormat="1" x14ac:dyDescent="0.25">
      <c r="B60" s="498" t="s">
        <v>613</v>
      </c>
      <c r="C60" s="499" t="s">
        <v>13</v>
      </c>
      <c r="D60" s="592"/>
      <c r="E60" s="593">
        <f>IFERROR($D60*E82/100, 0)</f>
        <v>0</v>
      </c>
      <c r="F60" s="508">
        <f t="shared" si="37"/>
        <v>0</v>
      </c>
      <c r="G60" s="501">
        <f t="shared" si="40"/>
        <v>0</v>
      </c>
      <c r="H60" s="502">
        <f t="shared" si="40"/>
        <v>0</v>
      </c>
      <c r="I60" s="594">
        <f t="shared" si="40"/>
        <v>0</v>
      </c>
      <c r="J60" s="508">
        <f t="shared" si="38"/>
        <v>0</v>
      </c>
      <c r="K60" s="501">
        <f t="shared" si="41"/>
        <v>0</v>
      </c>
      <c r="L60" s="502">
        <f t="shared" si="41"/>
        <v>0</v>
      </c>
      <c r="M60" s="595">
        <f t="shared" si="41"/>
        <v>0</v>
      </c>
      <c r="N60" s="593">
        <f t="shared" si="41"/>
        <v>0</v>
      </c>
      <c r="O60" s="596">
        <f t="shared" si="41"/>
        <v>0</v>
      </c>
      <c r="P60" s="508">
        <f t="shared" si="41"/>
        <v>0</v>
      </c>
    </row>
    <row r="61" spans="2:17" s="1" customFormat="1" x14ac:dyDescent="0.25">
      <c r="B61" s="488" t="s">
        <v>152</v>
      </c>
      <c r="C61" s="509" t="s">
        <v>15</v>
      </c>
      <c r="D61" s="490">
        <f>SUM(D62:D65)</f>
        <v>111.63485</v>
      </c>
      <c r="E61" s="491">
        <f>SUM(E62:E65)</f>
        <v>0</v>
      </c>
      <c r="F61" s="492">
        <f t="shared" si="37"/>
        <v>111.63485000000001</v>
      </c>
      <c r="G61" s="493">
        <f>SUM(G62:G65)</f>
        <v>21.690651355</v>
      </c>
      <c r="H61" s="494">
        <f>SUM(H62:H65)</f>
        <v>72.049132190000009</v>
      </c>
      <c r="I61" s="495">
        <f>SUM(I62:I65)</f>
        <v>17.895066455000002</v>
      </c>
      <c r="J61" s="492">
        <f t="shared" si="38"/>
        <v>0</v>
      </c>
      <c r="K61" s="493">
        <f t="shared" ref="K61:P61" si="42">SUM(K62:K65)</f>
        <v>0</v>
      </c>
      <c r="L61" s="494">
        <f t="shared" si="42"/>
        <v>0</v>
      </c>
      <c r="M61" s="496">
        <f t="shared" si="42"/>
        <v>0</v>
      </c>
      <c r="N61" s="491">
        <f t="shared" si="42"/>
        <v>0</v>
      </c>
      <c r="O61" s="497">
        <f t="shared" si="42"/>
        <v>0</v>
      </c>
      <c r="P61" s="492">
        <f t="shared" si="42"/>
        <v>0</v>
      </c>
    </row>
    <row r="62" spans="2:17" s="1" customFormat="1" x14ac:dyDescent="0.25">
      <c r="B62" s="498" t="s">
        <v>154</v>
      </c>
      <c r="C62" s="499" t="s">
        <v>17</v>
      </c>
      <c r="D62" s="592">
        <v>62.150379999999998</v>
      </c>
      <c r="E62" s="593">
        <f>IFERROR($D62*E83/100, 0)</f>
        <v>0</v>
      </c>
      <c r="F62" s="508">
        <f t="shared" si="37"/>
        <v>62.150379999999998</v>
      </c>
      <c r="G62" s="501">
        <f t="shared" ref="G62:I65" si="43">IFERROR($D62*G83/100, 0)</f>
        <v>12.075818834</v>
      </c>
      <c r="H62" s="502">
        <f t="shared" si="43"/>
        <v>40.111855252000005</v>
      </c>
      <c r="I62" s="594">
        <f t="shared" si="43"/>
        <v>9.9627059140000007</v>
      </c>
      <c r="J62" s="508">
        <f t="shared" si="38"/>
        <v>0</v>
      </c>
      <c r="K62" s="501">
        <f t="shared" ref="K62:P65" si="44">IFERROR($D62*K83/100, 0)</f>
        <v>0</v>
      </c>
      <c r="L62" s="502">
        <f t="shared" si="44"/>
        <v>0</v>
      </c>
      <c r="M62" s="595">
        <f t="shared" si="44"/>
        <v>0</v>
      </c>
      <c r="N62" s="593">
        <f t="shared" si="44"/>
        <v>0</v>
      </c>
      <c r="O62" s="596">
        <f t="shared" si="44"/>
        <v>0</v>
      </c>
      <c r="P62" s="508">
        <f t="shared" si="44"/>
        <v>0</v>
      </c>
    </row>
    <row r="63" spans="2:17" s="1" customFormat="1" x14ac:dyDescent="0.25">
      <c r="B63" s="498" t="s">
        <v>156</v>
      </c>
      <c r="C63" s="499" t="s">
        <v>597</v>
      </c>
      <c r="D63" s="592">
        <v>49.484470000000002</v>
      </c>
      <c r="E63" s="593">
        <f>IFERROR($D63*E84/100, 0)</f>
        <v>0</v>
      </c>
      <c r="F63" s="508">
        <f t="shared" si="37"/>
        <v>49.484470000000009</v>
      </c>
      <c r="G63" s="501">
        <f t="shared" si="43"/>
        <v>9.6148325210000003</v>
      </c>
      <c r="H63" s="502">
        <f t="shared" si="43"/>
        <v>31.937276938000004</v>
      </c>
      <c r="I63" s="594">
        <f t="shared" si="43"/>
        <v>7.9323605410000004</v>
      </c>
      <c r="J63" s="508">
        <f t="shared" si="38"/>
        <v>0</v>
      </c>
      <c r="K63" s="501">
        <f t="shared" si="44"/>
        <v>0</v>
      </c>
      <c r="L63" s="502">
        <f t="shared" si="44"/>
        <v>0</v>
      </c>
      <c r="M63" s="595">
        <f t="shared" si="44"/>
        <v>0</v>
      </c>
      <c r="N63" s="593">
        <f t="shared" si="44"/>
        <v>0</v>
      </c>
      <c r="O63" s="596">
        <f t="shared" si="44"/>
        <v>0</v>
      </c>
      <c r="P63" s="508">
        <f t="shared" si="44"/>
        <v>0</v>
      </c>
    </row>
    <row r="64" spans="2:17" s="1" customFormat="1" x14ac:dyDescent="0.25">
      <c r="B64" s="498" t="s">
        <v>158</v>
      </c>
      <c r="C64" s="499" t="s">
        <v>23</v>
      </c>
      <c r="D64" s="592"/>
      <c r="E64" s="593">
        <f>IFERROR($D64*E85/100, 0)</f>
        <v>0</v>
      </c>
      <c r="F64" s="508">
        <f t="shared" si="37"/>
        <v>0</v>
      </c>
      <c r="G64" s="501">
        <f t="shared" si="43"/>
        <v>0</v>
      </c>
      <c r="H64" s="502">
        <f t="shared" si="43"/>
        <v>0</v>
      </c>
      <c r="I64" s="594">
        <f t="shared" si="43"/>
        <v>0</v>
      </c>
      <c r="J64" s="508">
        <f t="shared" si="38"/>
        <v>0</v>
      </c>
      <c r="K64" s="501">
        <f t="shared" si="44"/>
        <v>0</v>
      </c>
      <c r="L64" s="502">
        <f t="shared" si="44"/>
        <v>0</v>
      </c>
      <c r="M64" s="595">
        <f t="shared" si="44"/>
        <v>0</v>
      </c>
      <c r="N64" s="593">
        <f t="shared" si="44"/>
        <v>0</v>
      </c>
      <c r="O64" s="596">
        <f t="shared" si="44"/>
        <v>0</v>
      </c>
      <c r="P64" s="508">
        <f t="shared" si="44"/>
        <v>0</v>
      </c>
    </row>
    <row r="65" spans="2:16" s="1" customFormat="1" ht="38.25" x14ac:dyDescent="0.25">
      <c r="B65" s="498" t="s">
        <v>614</v>
      </c>
      <c r="C65" s="499" t="s">
        <v>599</v>
      </c>
      <c r="D65" s="592"/>
      <c r="E65" s="593">
        <f>IFERROR($D65*E86/100, 0)</f>
        <v>0</v>
      </c>
      <c r="F65" s="508">
        <f t="shared" si="37"/>
        <v>0</v>
      </c>
      <c r="G65" s="501">
        <f t="shared" si="43"/>
        <v>0</v>
      </c>
      <c r="H65" s="502">
        <f t="shared" si="43"/>
        <v>0</v>
      </c>
      <c r="I65" s="594">
        <f t="shared" si="43"/>
        <v>0</v>
      </c>
      <c r="J65" s="508">
        <f t="shared" si="38"/>
        <v>0</v>
      </c>
      <c r="K65" s="501">
        <f t="shared" si="44"/>
        <v>0</v>
      </c>
      <c r="L65" s="502">
        <f t="shared" si="44"/>
        <v>0</v>
      </c>
      <c r="M65" s="595">
        <f t="shared" si="44"/>
        <v>0</v>
      </c>
      <c r="N65" s="593">
        <f t="shared" si="44"/>
        <v>0</v>
      </c>
      <c r="O65" s="596">
        <f t="shared" si="44"/>
        <v>0</v>
      </c>
      <c r="P65" s="508">
        <f t="shared" si="44"/>
        <v>0</v>
      </c>
    </row>
    <row r="66" spans="2:16" s="1" customFormat="1" x14ac:dyDescent="0.25">
      <c r="B66" s="488" t="s">
        <v>160</v>
      </c>
      <c r="C66" s="513" t="s">
        <v>27</v>
      </c>
      <c r="D66" s="490">
        <f>D67+D68</f>
        <v>0</v>
      </c>
      <c r="E66" s="491">
        <f>E67+E68</f>
        <v>0</v>
      </c>
      <c r="F66" s="492">
        <f t="shared" si="37"/>
        <v>0</v>
      </c>
      <c r="G66" s="493">
        <f>G67+G68</f>
        <v>0</v>
      </c>
      <c r="H66" s="494">
        <f>H67+H68</f>
        <v>0</v>
      </c>
      <c r="I66" s="495">
        <f>I67+I68</f>
        <v>0</v>
      </c>
      <c r="J66" s="492">
        <f t="shared" si="38"/>
        <v>0</v>
      </c>
      <c r="K66" s="493">
        <f t="shared" ref="K66:P66" si="45">K67+K68</f>
        <v>0</v>
      </c>
      <c r="L66" s="494">
        <f t="shared" si="45"/>
        <v>0</v>
      </c>
      <c r="M66" s="496">
        <f t="shared" si="45"/>
        <v>0</v>
      </c>
      <c r="N66" s="491">
        <f t="shared" si="45"/>
        <v>0</v>
      </c>
      <c r="O66" s="497">
        <f t="shared" si="45"/>
        <v>0</v>
      </c>
      <c r="P66" s="492">
        <f t="shared" si="45"/>
        <v>0</v>
      </c>
    </row>
    <row r="67" spans="2:16" s="1" customFormat="1" ht="51.75" x14ac:dyDescent="0.25">
      <c r="B67" s="498" t="s">
        <v>412</v>
      </c>
      <c r="C67" s="514" t="s">
        <v>29</v>
      </c>
      <c r="D67" s="592"/>
      <c r="E67" s="593">
        <f>IFERROR($D67*E87/100, 0)</f>
        <v>0</v>
      </c>
      <c r="F67" s="508">
        <f t="shared" si="37"/>
        <v>0</v>
      </c>
      <c r="G67" s="501">
        <f t="shared" ref="G67:I68" si="46">IFERROR($D67*G87/100, 0)</f>
        <v>0</v>
      </c>
      <c r="H67" s="502">
        <f t="shared" si="46"/>
        <v>0</v>
      </c>
      <c r="I67" s="594">
        <f t="shared" si="46"/>
        <v>0</v>
      </c>
      <c r="J67" s="508">
        <f t="shared" si="38"/>
        <v>0</v>
      </c>
      <c r="K67" s="501">
        <f t="shared" ref="K67:P68" si="47">IFERROR($D67*K87/100, 0)</f>
        <v>0</v>
      </c>
      <c r="L67" s="502">
        <f t="shared" si="47"/>
        <v>0</v>
      </c>
      <c r="M67" s="595">
        <f t="shared" si="47"/>
        <v>0</v>
      </c>
      <c r="N67" s="593">
        <f t="shared" si="47"/>
        <v>0</v>
      </c>
      <c r="O67" s="596">
        <f t="shared" si="47"/>
        <v>0</v>
      </c>
      <c r="P67" s="508">
        <f t="shared" si="47"/>
        <v>0</v>
      </c>
    </row>
    <row r="68" spans="2:16" s="1" customFormat="1" x14ac:dyDescent="0.25">
      <c r="B68" s="498" t="s">
        <v>615</v>
      </c>
      <c r="C68" s="514" t="s">
        <v>31</v>
      </c>
      <c r="D68" s="592"/>
      <c r="E68" s="593">
        <f>IFERROR($D68*E88/100, 0)</f>
        <v>0</v>
      </c>
      <c r="F68" s="508">
        <f t="shared" si="37"/>
        <v>0</v>
      </c>
      <c r="G68" s="501">
        <f t="shared" si="46"/>
        <v>0</v>
      </c>
      <c r="H68" s="502">
        <f t="shared" si="46"/>
        <v>0</v>
      </c>
      <c r="I68" s="594">
        <f t="shared" si="46"/>
        <v>0</v>
      </c>
      <c r="J68" s="508">
        <f t="shared" si="38"/>
        <v>0</v>
      </c>
      <c r="K68" s="501">
        <f t="shared" si="47"/>
        <v>0</v>
      </c>
      <c r="L68" s="502">
        <f t="shared" si="47"/>
        <v>0</v>
      </c>
      <c r="M68" s="595">
        <f t="shared" si="47"/>
        <v>0</v>
      </c>
      <c r="N68" s="593">
        <f t="shared" si="47"/>
        <v>0</v>
      </c>
      <c r="O68" s="596">
        <f t="shared" si="47"/>
        <v>0</v>
      </c>
      <c r="P68" s="508">
        <f t="shared" si="47"/>
        <v>0</v>
      </c>
    </row>
    <row r="69" spans="2:16" s="1" customFormat="1" x14ac:dyDescent="0.25">
      <c r="B69" s="488" t="s">
        <v>162</v>
      </c>
      <c r="C69" s="513" t="s">
        <v>33</v>
      </c>
      <c r="D69" s="490">
        <f>D70+D71</f>
        <v>4.7193800000000001</v>
      </c>
      <c r="E69" s="491">
        <f>E70+E71</f>
        <v>0</v>
      </c>
      <c r="F69" s="492">
        <f t="shared" si="37"/>
        <v>3.390402592</v>
      </c>
      <c r="G69" s="493">
        <f>G70+G71</f>
        <v>0.65882544800000009</v>
      </c>
      <c r="H69" s="494">
        <f>H70+H71</f>
        <v>2.188376506</v>
      </c>
      <c r="I69" s="495">
        <f>I70+I71</f>
        <v>0.54320063799999996</v>
      </c>
      <c r="J69" s="492">
        <f t="shared" si="38"/>
        <v>1.3294493459999999</v>
      </c>
      <c r="K69" s="493">
        <f t="shared" ref="K69:P69" si="48">K70+K71</f>
        <v>0.98115910200000001</v>
      </c>
      <c r="L69" s="494">
        <f t="shared" si="48"/>
        <v>0.29165768400000003</v>
      </c>
      <c r="M69" s="496">
        <f t="shared" si="48"/>
        <v>5.6632559999999998E-2</v>
      </c>
      <c r="N69" s="491">
        <f t="shared" si="48"/>
        <v>0</v>
      </c>
      <c r="O69" s="497">
        <f t="shared" si="48"/>
        <v>0</v>
      </c>
      <c r="P69" s="492">
        <f t="shared" si="48"/>
        <v>0</v>
      </c>
    </row>
    <row r="70" spans="2:16" s="1" customFormat="1" x14ac:dyDescent="0.25">
      <c r="B70" s="515" t="s">
        <v>413</v>
      </c>
      <c r="C70" s="514" t="s">
        <v>600</v>
      </c>
      <c r="D70" s="592"/>
      <c r="E70" s="593">
        <f>IFERROR($D70*E89/100, 0)</f>
        <v>0</v>
      </c>
      <c r="F70" s="508">
        <f t="shared" si="37"/>
        <v>0</v>
      </c>
      <c r="G70" s="501">
        <f t="shared" ref="G70:I71" si="49">IFERROR($D70*G89/100, 0)</f>
        <v>0</v>
      </c>
      <c r="H70" s="502">
        <f t="shared" si="49"/>
        <v>0</v>
      </c>
      <c r="I70" s="594">
        <f t="shared" si="49"/>
        <v>0</v>
      </c>
      <c r="J70" s="508">
        <f t="shared" si="38"/>
        <v>0</v>
      </c>
      <c r="K70" s="501">
        <f t="shared" ref="K70:P71" si="50">IFERROR($D70*K89/100, 0)</f>
        <v>0</v>
      </c>
      <c r="L70" s="502">
        <f t="shared" si="50"/>
        <v>0</v>
      </c>
      <c r="M70" s="595">
        <f t="shared" si="50"/>
        <v>0</v>
      </c>
      <c r="N70" s="593">
        <f t="shared" si="50"/>
        <v>0</v>
      </c>
      <c r="O70" s="596">
        <f t="shared" si="50"/>
        <v>0</v>
      </c>
      <c r="P70" s="508">
        <f t="shared" si="50"/>
        <v>0</v>
      </c>
    </row>
    <row r="71" spans="2:16" s="1" customFormat="1" ht="26.25" x14ac:dyDescent="0.25">
      <c r="B71" s="515" t="s">
        <v>414</v>
      </c>
      <c r="C71" s="570" t="s">
        <v>601</v>
      </c>
      <c r="D71" s="592">
        <v>4.7193800000000001</v>
      </c>
      <c r="E71" s="593">
        <f>IFERROR($D71*E90/100, 0)</f>
        <v>0</v>
      </c>
      <c r="F71" s="508">
        <f t="shared" si="37"/>
        <v>3.390402592</v>
      </c>
      <c r="G71" s="501">
        <f t="shared" si="49"/>
        <v>0.65882544800000009</v>
      </c>
      <c r="H71" s="502">
        <f t="shared" si="49"/>
        <v>2.188376506</v>
      </c>
      <c r="I71" s="594">
        <f t="shared" si="49"/>
        <v>0.54320063799999996</v>
      </c>
      <c r="J71" s="508">
        <f t="shared" si="38"/>
        <v>1.3294493459999999</v>
      </c>
      <c r="K71" s="501">
        <f t="shared" si="50"/>
        <v>0.98115910200000001</v>
      </c>
      <c r="L71" s="502">
        <f t="shared" si="50"/>
        <v>0.29165768400000003</v>
      </c>
      <c r="M71" s="595">
        <f t="shared" si="50"/>
        <v>5.6632559999999998E-2</v>
      </c>
      <c r="N71" s="593">
        <f t="shared" si="50"/>
        <v>0</v>
      </c>
      <c r="O71" s="596">
        <f t="shared" si="50"/>
        <v>0</v>
      </c>
      <c r="P71" s="508">
        <f t="shared" si="50"/>
        <v>0</v>
      </c>
    </row>
    <row r="72" spans="2:16" s="1" customFormat="1" x14ac:dyDescent="0.25">
      <c r="B72" s="488" t="s">
        <v>418</v>
      </c>
      <c r="C72" s="525" t="s">
        <v>39</v>
      </c>
      <c r="D72" s="526">
        <f>D73+D74</f>
        <v>30.525359999999999</v>
      </c>
      <c r="E72" s="527">
        <f>E73+E74</f>
        <v>0</v>
      </c>
      <c r="F72" s="528">
        <f t="shared" si="37"/>
        <v>21.929418623999997</v>
      </c>
      <c r="G72" s="529">
        <f>G73+G74</f>
        <v>4.2613402560000004</v>
      </c>
      <c r="H72" s="530">
        <f>H73+H74</f>
        <v>14.154609431999999</v>
      </c>
      <c r="I72" s="531">
        <f>I73+I74</f>
        <v>3.5134689359999998</v>
      </c>
      <c r="J72" s="528">
        <f t="shared" si="38"/>
        <v>8.5989939119999992</v>
      </c>
      <c r="K72" s="529">
        <f t="shared" ref="K72:P72" si="51">K73+K74</f>
        <v>6.3462223439999992</v>
      </c>
      <c r="L72" s="530">
        <f t="shared" si="51"/>
        <v>1.8864672479999998</v>
      </c>
      <c r="M72" s="571">
        <f t="shared" si="51"/>
        <v>0.36630432000000002</v>
      </c>
      <c r="N72" s="527">
        <f t="shared" si="51"/>
        <v>0</v>
      </c>
      <c r="O72" s="572">
        <f t="shared" si="51"/>
        <v>0</v>
      </c>
      <c r="P72" s="528">
        <f t="shared" si="51"/>
        <v>0</v>
      </c>
    </row>
    <row r="73" spans="2:16" s="1" customFormat="1" x14ac:dyDescent="0.25">
      <c r="B73" s="533" t="s">
        <v>616</v>
      </c>
      <c r="C73" s="534" t="s">
        <v>41</v>
      </c>
      <c r="D73" s="597"/>
      <c r="E73" s="593">
        <f>IFERROR($D73*E91/100, 0)</f>
        <v>0</v>
      </c>
      <c r="F73" s="508">
        <f t="shared" si="37"/>
        <v>0</v>
      </c>
      <c r="G73" s="501">
        <f t="shared" ref="G73:I74" si="52">IFERROR($D73*G91/100, 0)</f>
        <v>0</v>
      </c>
      <c r="H73" s="502">
        <f t="shared" si="52"/>
        <v>0</v>
      </c>
      <c r="I73" s="594">
        <f t="shared" si="52"/>
        <v>0</v>
      </c>
      <c r="J73" s="508">
        <f t="shared" si="38"/>
        <v>0</v>
      </c>
      <c r="K73" s="501">
        <f t="shared" ref="K73:P74" si="53">IFERROR($D73*K91/100, 0)</f>
        <v>0</v>
      </c>
      <c r="L73" s="502">
        <f t="shared" si="53"/>
        <v>0</v>
      </c>
      <c r="M73" s="595">
        <f t="shared" si="53"/>
        <v>0</v>
      </c>
      <c r="N73" s="593">
        <f t="shared" si="53"/>
        <v>0</v>
      </c>
      <c r="O73" s="596">
        <f t="shared" si="53"/>
        <v>0</v>
      </c>
      <c r="P73" s="508">
        <f t="shared" si="53"/>
        <v>0</v>
      </c>
    </row>
    <row r="74" spans="2:16" s="1" customFormat="1" ht="26.25" x14ac:dyDescent="0.25">
      <c r="B74" s="533" t="s">
        <v>617</v>
      </c>
      <c r="C74" s="541" t="s">
        <v>43</v>
      </c>
      <c r="D74" s="598">
        <v>30.525359999999999</v>
      </c>
      <c r="E74" s="593">
        <f>IFERROR($D74*E92/100, 0)</f>
        <v>0</v>
      </c>
      <c r="F74" s="508">
        <f t="shared" si="37"/>
        <v>21.929418623999997</v>
      </c>
      <c r="G74" s="501">
        <f t="shared" si="52"/>
        <v>4.2613402560000004</v>
      </c>
      <c r="H74" s="502">
        <f t="shared" si="52"/>
        <v>14.154609431999999</v>
      </c>
      <c r="I74" s="594">
        <f t="shared" si="52"/>
        <v>3.5134689359999998</v>
      </c>
      <c r="J74" s="508">
        <f t="shared" si="38"/>
        <v>8.5989939119999992</v>
      </c>
      <c r="K74" s="501">
        <f t="shared" si="53"/>
        <v>6.3462223439999992</v>
      </c>
      <c r="L74" s="502">
        <f t="shared" si="53"/>
        <v>1.8864672479999998</v>
      </c>
      <c r="M74" s="595">
        <f t="shared" si="53"/>
        <v>0.36630432000000002</v>
      </c>
      <c r="N74" s="593">
        <f t="shared" si="53"/>
        <v>0</v>
      </c>
      <c r="O74" s="596">
        <f t="shared" si="53"/>
        <v>0</v>
      </c>
      <c r="P74" s="508">
        <f t="shared" si="53"/>
        <v>0</v>
      </c>
    </row>
    <row r="75" spans="2:16" s="1" customFormat="1" x14ac:dyDescent="0.25">
      <c r="B75" s="544" t="s">
        <v>419</v>
      </c>
      <c r="C75" s="545" t="s">
        <v>602</v>
      </c>
      <c r="D75" s="526">
        <f>SUM(D76:D78)</f>
        <v>0</v>
      </c>
      <c r="E75" s="599">
        <f>SUM(E76:E78)</f>
        <v>0</v>
      </c>
      <c r="F75" s="528">
        <f t="shared" si="37"/>
        <v>0</v>
      </c>
      <c r="G75" s="599">
        <f t="shared" ref="G75:I75" si="54">SUM(G76:G78)</f>
        <v>0</v>
      </c>
      <c r="H75" s="600">
        <f t="shared" si="54"/>
        <v>0</v>
      </c>
      <c r="I75" s="600">
        <f t="shared" si="54"/>
        <v>0</v>
      </c>
      <c r="J75" s="528">
        <f t="shared" si="38"/>
        <v>0</v>
      </c>
      <c r="K75" s="599">
        <f t="shared" ref="K75:P75" si="55">SUM(K76:K78)</f>
        <v>0</v>
      </c>
      <c r="L75" s="600">
        <f t="shared" si="55"/>
        <v>0</v>
      </c>
      <c r="M75" s="601">
        <f t="shared" si="55"/>
        <v>0</v>
      </c>
      <c r="N75" s="526">
        <f t="shared" si="55"/>
        <v>0</v>
      </c>
      <c r="O75" s="599">
        <f t="shared" si="55"/>
        <v>0</v>
      </c>
      <c r="P75" s="602">
        <f t="shared" si="55"/>
        <v>0</v>
      </c>
    </row>
    <row r="76" spans="2:16" s="1" customFormat="1" x14ac:dyDescent="0.25">
      <c r="B76" s="546" t="s">
        <v>420</v>
      </c>
      <c r="C76" s="547" t="s">
        <v>603</v>
      </c>
      <c r="D76" s="598"/>
      <c r="E76" s="593">
        <f>IFERROR($D76*E93/100, 0)</f>
        <v>0</v>
      </c>
      <c r="F76" s="508">
        <f t="shared" si="37"/>
        <v>0</v>
      </c>
      <c r="G76" s="501">
        <f t="shared" ref="G76:I78" si="56">IFERROR($D76*G93/100, 0)</f>
        <v>0</v>
      </c>
      <c r="H76" s="502">
        <f t="shared" si="56"/>
        <v>0</v>
      </c>
      <c r="I76" s="594">
        <f t="shared" si="56"/>
        <v>0</v>
      </c>
      <c r="J76" s="508">
        <f t="shared" si="38"/>
        <v>0</v>
      </c>
      <c r="K76" s="501">
        <f t="shared" ref="K76:P78" si="57">IFERROR($D76*K93/100, 0)</f>
        <v>0</v>
      </c>
      <c r="L76" s="502">
        <f t="shared" si="57"/>
        <v>0</v>
      </c>
      <c r="M76" s="595">
        <f t="shared" si="57"/>
        <v>0</v>
      </c>
      <c r="N76" s="593">
        <f t="shared" si="57"/>
        <v>0</v>
      </c>
      <c r="O76" s="596">
        <f t="shared" si="57"/>
        <v>0</v>
      </c>
      <c r="P76" s="508">
        <f t="shared" si="57"/>
        <v>0</v>
      </c>
    </row>
    <row r="77" spans="2:16" s="1" customFormat="1" x14ac:dyDescent="0.25">
      <c r="B77" s="533" t="s">
        <v>421</v>
      </c>
      <c r="C77" s="547" t="s">
        <v>603</v>
      </c>
      <c r="D77" s="598"/>
      <c r="E77" s="593">
        <f>IFERROR($D77*E94/100, 0)</f>
        <v>0</v>
      </c>
      <c r="F77" s="508">
        <f t="shared" si="37"/>
        <v>0</v>
      </c>
      <c r="G77" s="501">
        <f t="shared" si="56"/>
        <v>0</v>
      </c>
      <c r="H77" s="502">
        <f t="shared" si="56"/>
        <v>0</v>
      </c>
      <c r="I77" s="594">
        <f t="shared" si="56"/>
        <v>0</v>
      </c>
      <c r="J77" s="508">
        <f t="shared" si="38"/>
        <v>0</v>
      </c>
      <c r="K77" s="501">
        <f t="shared" si="57"/>
        <v>0</v>
      </c>
      <c r="L77" s="502">
        <f t="shared" si="57"/>
        <v>0</v>
      </c>
      <c r="M77" s="595">
        <f t="shared" si="57"/>
        <v>0</v>
      </c>
      <c r="N77" s="593">
        <f t="shared" si="57"/>
        <v>0</v>
      </c>
      <c r="O77" s="596">
        <f t="shared" si="57"/>
        <v>0</v>
      </c>
      <c r="P77" s="508">
        <f t="shared" si="57"/>
        <v>0</v>
      </c>
    </row>
    <row r="78" spans="2:16" s="1" customFormat="1" ht="15.75" thickBot="1" x14ac:dyDescent="0.3">
      <c r="B78" s="603" t="s">
        <v>422</v>
      </c>
      <c r="C78" s="550" t="s">
        <v>603</v>
      </c>
      <c r="D78" s="597"/>
      <c r="E78" s="604">
        <f>IFERROR($D78*E95/100, 0)</f>
        <v>0</v>
      </c>
      <c r="F78" s="605">
        <f t="shared" si="37"/>
        <v>0</v>
      </c>
      <c r="G78" s="606">
        <f t="shared" si="56"/>
        <v>0</v>
      </c>
      <c r="H78" s="607">
        <f t="shared" si="56"/>
        <v>0</v>
      </c>
      <c r="I78" s="608">
        <f t="shared" si="56"/>
        <v>0</v>
      </c>
      <c r="J78" s="609">
        <f t="shared" si="38"/>
        <v>0</v>
      </c>
      <c r="K78" s="606">
        <f t="shared" si="57"/>
        <v>0</v>
      </c>
      <c r="L78" s="607">
        <f t="shared" si="57"/>
        <v>0</v>
      </c>
      <c r="M78" s="610">
        <f t="shared" si="57"/>
        <v>0</v>
      </c>
      <c r="N78" s="611">
        <f t="shared" si="57"/>
        <v>0</v>
      </c>
      <c r="O78" s="612">
        <f t="shared" si="57"/>
        <v>0</v>
      </c>
      <c r="P78" s="609">
        <f t="shared" si="57"/>
        <v>0</v>
      </c>
    </row>
    <row r="79" spans="2:16" s="1" customFormat="1" ht="66.75" customHeight="1" thickBot="1" x14ac:dyDescent="0.3">
      <c r="B79" s="467" t="s">
        <v>63</v>
      </c>
      <c r="C79" s="474" t="s">
        <v>618</v>
      </c>
      <c r="D79" s="613" t="s">
        <v>255</v>
      </c>
      <c r="E79" s="476" t="s">
        <v>256</v>
      </c>
      <c r="F79" s="470" t="s">
        <v>257</v>
      </c>
      <c r="G79" s="614" t="s">
        <v>258</v>
      </c>
      <c r="H79" s="615" t="s">
        <v>259</v>
      </c>
      <c r="I79" s="616" t="s">
        <v>260</v>
      </c>
      <c r="J79" s="474" t="s">
        <v>261</v>
      </c>
      <c r="K79" s="614" t="s">
        <v>262</v>
      </c>
      <c r="L79" s="615" t="s">
        <v>263</v>
      </c>
      <c r="M79" s="617" t="s">
        <v>264</v>
      </c>
      <c r="N79" s="476" t="s">
        <v>619</v>
      </c>
      <c r="O79" s="477" t="s">
        <v>458</v>
      </c>
      <c r="P79" s="474" t="s">
        <v>459</v>
      </c>
    </row>
    <row r="80" spans="2:16" s="1" customFormat="1" x14ac:dyDescent="0.25">
      <c r="B80" s="618" t="s">
        <v>65</v>
      </c>
      <c r="C80" s="619" t="s">
        <v>620</v>
      </c>
      <c r="D80" s="620">
        <f t="shared" ref="D80:D95" si="58">E80+F80+J80+N80+O80+P80</f>
        <v>0</v>
      </c>
      <c r="E80" s="621"/>
      <c r="F80" s="622">
        <f t="shared" ref="F80:F95" si="59">SUM(G80:I80)</f>
        <v>0</v>
      </c>
      <c r="G80" s="1344"/>
      <c r="H80" s="1345"/>
      <c r="I80" s="1346"/>
      <c r="J80" s="622">
        <f t="shared" ref="J80:J95" si="60">SUM(K80:M80)</f>
        <v>0</v>
      </c>
      <c r="K80" s="623"/>
      <c r="L80" s="624"/>
      <c r="M80" s="625"/>
      <c r="N80" s="626"/>
      <c r="O80" s="627"/>
      <c r="P80" s="628"/>
    </row>
    <row r="81" spans="2:17" s="1" customFormat="1" x14ac:dyDescent="0.25">
      <c r="B81" s="629" t="s">
        <v>69</v>
      </c>
      <c r="C81" s="630" t="s">
        <v>621</v>
      </c>
      <c r="D81" s="631">
        <f t="shared" si="58"/>
        <v>0</v>
      </c>
      <c r="E81" s="632"/>
      <c r="F81" s="633">
        <f t="shared" si="59"/>
        <v>0</v>
      </c>
      <c r="G81" s="1347"/>
      <c r="H81" s="1348"/>
      <c r="I81" s="1349"/>
      <c r="J81" s="633">
        <f t="shared" si="60"/>
        <v>0</v>
      </c>
      <c r="K81" s="634"/>
      <c r="L81" s="635"/>
      <c r="M81" s="636"/>
      <c r="N81" s="637"/>
      <c r="O81" s="638"/>
      <c r="P81" s="639"/>
    </row>
    <row r="82" spans="2:17" s="1" customFormat="1" x14ac:dyDescent="0.25">
      <c r="B82" s="629" t="s">
        <v>71</v>
      </c>
      <c r="C82" s="630" t="s">
        <v>622</v>
      </c>
      <c r="D82" s="631">
        <f t="shared" si="58"/>
        <v>0</v>
      </c>
      <c r="E82" s="632"/>
      <c r="F82" s="633">
        <f t="shared" si="59"/>
        <v>0</v>
      </c>
      <c r="G82" s="1347"/>
      <c r="H82" s="1348"/>
      <c r="I82" s="1349"/>
      <c r="J82" s="633">
        <f t="shared" si="60"/>
        <v>0</v>
      </c>
      <c r="K82" s="634"/>
      <c r="L82" s="635"/>
      <c r="M82" s="636"/>
      <c r="N82" s="637"/>
      <c r="O82" s="638"/>
      <c r="P82" s="639"/>
    </row>
    <row r="83" spans="2:17" s="1" customFormat="1" x14ac:dyDescent="0.25">
      <c r="B83" s="640" t="s">
        <v>73</v>
      </c>
      <c r="C83" s="630" t="s">
        <v>623</v>
      </c>
      <c r="D83" s="631">
        <f t="shared" si="58"/>
        <v>100</v>
      </c>
      <c r="E83" s="632"/>
      <c r="F83" s="633">
        <f t="shared" si="59"/>
        <v>100</v>
      </c>
      <c r="G83" s="1347">
        <v>19.43</v>
      </c>
      <c r="H83" s="1348">
        <v>64.540000000000006</v>
      </c>
      <c r="I83" s="1349">
        <v>16.03</v>
      </c>
      <c r="J83" s="633">
        <f t="shared" si="60"/>
        <v>0</v>
      </c>
      <c r="K83" s="634"/>
      <c r="L83" s="635"/>
      <c r="M83" s="636"/>
      <c r="N83" s="637"/>
      <c r="O83" s="638"/>
      <c r="P83" s="639"/>
    </row>
    <row r="84" spans="2:17" s="1" customFormat="1" x14ac:dyDescent="0.25">
      <c r="B84" s="629" t="s">
        <v>75</v>
      </c>
      <c r="C84" s="630" t="s">
        <v>624</v>
      </c>
      <c r="D84" s="631">
        <f t="shared" si="58"/>
        <v>100</v>
      </c>
      <c r="E84" s="632"/>
      <c r="F84" s="633">
        <f t="shared" si="59"/>
        <v>100</v>
      </c>
      <c r="G84" s="1347">
        <v>19.43</v>
      </c>
      <c r="H84" s="1348">
        <v>64.540000000000006</v>
      </c>
      <c r="I84" s="1349">
        <v>16.03</v>
      </c>
      <c r="J84" s="633">
        <f t="shared" si="60"/>
        <v>0</v>
      </c>
      <c r="K84" s="634"/>
      <c r="L84" s="635"/>
      <c r="M84" s="636"/>
      <c r="N84" s="637"/>
      <c r="O84" s="638"/>
      <c r="P84" s="639"/>
    </row>
    <row r="85" spans="2:17" s="1" customFormat="1" x14ac:dyDescent="0.25">
      <c r="B85" s="629" t="s">
        <v>466</v>
      </c>
      <c r="C85" s="630" t="s">
        <v>625</v>
      </c>
      <c r="D85" s="631">
        <f t="shared" si="58"/>
        <v>0</v>
      </c>
      <c r="E85" s="632"/>
      <c r="F85" s="633">
        <f t="shared" si="59"/>
        <v>0</v>
      </c>
      <c r="G85" s="1347"/>
      <c r="H85" s="1348"/>
      <c r="I85" s="1349"/>
      <c r="J85" s="633">
        <f t="shared" si="60"/>
        <v>0</v>
      </c>
      <c r="K85" s="634"/>
      <c r="L85" s="635"/>
      <c r="M85" s="636"/>
      <c r="N85" s="637"/>
      <c r="O85" s="638"/>
      <c r="P85" s="639"/>
    </row>
    <row r="86" spans="2:17" s="1" customFormat="1" x14ac:dyDescent="0.25">
      <c r="B86" s="629" t="s">
        <v>470</v>
      </c>
      <c r="C86" s="630" t="s">
        <v>626</v>
      </c>
      <c r="D86" s="631">
        <f t="shared" si="58"/>
        <v>0</v>
      </c>
      <c r="E86" s="632"/>
      <c r="F86" s="633">
        <f t="shared" si="59"/>
        <v>0</v>
      </c>
      <c r="G86" s="1347"/>
      <c r="H86" s="1348"/>
      <c r="I86" s="1349"/>
      <c r="J86" s="633">
        <f t="shared" si="60"/>
        <v>0</v>
      </c>
      <c r="K86" s="634"/>
      <c r="L86" s="635"/>
      <c r="M86" s="636"/>
      <c r="N86" s="637"/>
      <c r="O86" s="638"/>
      <c r="P86" s="639"/>
    </row>
    <row r="87" spans="2:17" s="1" customFormat="1" x14ac:dyDescent="0.25">
      <c r="B87" s="640" t="s">
        <v>474</v>
      </c>
      <c r="C87" s="630" t="s">
        <v>627</v>
      </c>
      <c r="D87" s="631">
        <f t="shared" si="58"/>
        <v>0</v>
      </c>
      <c r="E87" s="632"/>
      <c r="F87" s="633">
        <f t="shared" si="59"/>
        <v>0</v>
      </c>
      <c r="G87" s="1347"/>
      <c r="H87" s="1348"/>
      <c r="I87" s="1349"/>
      <c r="J87" s="633">
        <f t="shared" si="60"/>
        <v>0</v>
      </c>
      <c r="K87" s="634"/>
      <c r="L87" s="635"/>
      <c r="M87" s="636"/>
      <c r="N87" s="637"/>
      <c r="O87" s="638"/>
      <c r="P87" s="639"/>
    </row>
    <row r="88" spans="2:17" s="1" customFormat="1" x14ac:dyDescent="0.25">
      <c r="B88" s="640" t="s">
        <v>478</v>
      </c>
      <c r="C88" s="630" t="s">
        <v>628</v>
      </c>
      <c r="D88" s="631">
        <f t="shared" si="58"/>
        <v>0</v>
      </c>
      <c r="E88" s="632"/>
      <c r="F88" s="633">
        <f t="shared" si="59"/>
        <v>0</v>
      </c>
      <c r="G88" s="1347"/>
      <c r="H88" s="1348"/>
      <c r="I88" s="1349"/>
      <c r="J88" s="633">
        <f t="shared" si="60"/>
        <v>0</v>
      </c>
      <c r="K88" s="634"/>
      <c r="L88" s="635"/>
      <c r="M88" s="636"/>
      <c r="N88" s="637"/>
      <c r="O88" s="638"/>
      <c r="P88" s="639"/>
    </row>
    <row r="89" spans="2:17" s="1" customFormat="1" x14ac:dyDescent="0.25">
      <c r="B89" s="640" t="s">
        <v>494</v>
      </c>
      <c r="C89" s="630" t="s">
        <v>629</v>
      </c>
      <c r="D89" s="631">
        <f t="shared" si="58"/>
        <v>0</v>
      </c>
      <c r="E89" s="632"/>
      <c r="F89" s="633">
        <f t="shared" si="59"/>
        <v>0</v>
      </c>
      <c r="G89" s="1347"/>
      <c r="H89" s="1348"/>
      <c r="I89" s="1349"/>
      <c r="J89" s="633">
        <f t="shared" si="60"/>
        <v>0</v>
      </c>
      <c r="K89" s="634"/>
      <c r="L89" s="635"/>
      <c r="M89" s="636"/>
      <c r="N89" s="637"/>
      <c r="O89" s="638"/>
      <c r="P89" s="639"/>
    </row>
    <row r="90" spans="2:17" s="1" customFormat="1" x14ac:dyDescent="0.25">
      <c r="B90" s="640" t="s">
        <v>495</v>
      </c>
      <c r="C90" s="630" t="s">
        <v>630</v>
      </c>
      <c r="D90" s="631">
        <f t="shared" si="58"/>
        <v>100.01</v>
      </c>
      <c r="E90" s="632"/>
      <c r="F90" s="633">
        <f t="shared" si="59"/>
        <v>71.84</v>
      </c>
      <c r="G90" s="1347">
        <v>13.96</v>
      </c>
      <c r="H90" s="1348">
        <v>46.37</v>
      </c>
      <c r="I90" s="1349">
        <v>11.51</v>
      </c>
      <c r="J90" s="633">
        <f t="shared" si="60"/>
        <v>28.169999999999998</v>
      </c>
      <c r="K90" s="634">
        <v>20.79</v>
      </c>
      <c r="L90" s="635">
        <v>6.18</v>
      </c>
      <c r="M90" s="636">
        <v>1.2</v>
      </c>
      <c r="N90" s="637"/>
      <c r="O90" s="638"/>
      <c r="P90" s="639"/>
    </row>
    <row r="91" spans="2:17" s="1" customFormat="1" x14ac:dyDescent="0.25">
      <c r="B91" s="640" t="s">
        <v>631</v>
      </c>
      <c r="C91" s="630" t="s">
        <v>632</v>
      </c>
      <c r="D91" s="631">
        <f t="shared" si="58"/>
        <v>0</v>
      </c>
      <c r="E91" s="632"/>
      <c r="F91" s="633">
        <f t="shared" si="59"/>
        <v>0</v>
      </c>
      <c r="G91" s="1347"/>
      <c r="H91" s="1348"/>
      <c r="I91" s="1349"/>
      <c r="J91" s="633">
        <f t="shared" si="60"/>
        <v>0</v>
      </c>
      <c r="K91" s="634"/>
      <c r="L91" s="635"/>
      <c r="M91" s="636"/>
      <c r="N91" s="637"/>
      <c r="O91" s="638"/>
      <c r="P91" s="639"/>
    </row>
    <row r="92" spans="2:17" s="1" customFormat="1" x14ac:dyDescent="0.25">
      <c r="B92" s="640" t="s">
        <v>633</v>
      </c>
      <c r="C92" s="630" t="s">
        <v>634</v>
      </c>
      <c r="D92" s="631">
        <f t="shared" si="58"/>
        <v>100.01</v>
      </c>
      <c r="E92" s="632"/>
      <c r="F92" s="633">
        <f t="shared" si="59"/>
        <v>71.84</v>
      </c>
      <c r="G92" s="1347">
        <v>13.96</v>
      </c>
      <c r="H92" s="1348">
        <v>46.37</v>
      </c>
      <c r="I92" s="1349">
        <v>11.51</v>
      </c>
      <c r="J92" s="633">
        <f t="shared" si="60"/>
        <v>28.169999999999998</v>
      </c>
      <c r="K92" s="634">
        <v>20.79</v>
      </c>
      <c r="L92" s="635">
        <v>6.18</v>
      </c>
      <c r="M92" s="636">
        <v>1.2</v>
      </c>
      <c r="N92" s="637"/>
      <c r="O92" s="638"/>
      <c r="P92" s="639"/>
    </row>
    <row r="93" spans="2:17" s="1" customFormat="1" x14ac:dyDescent="0.25">
      <c r="B93" s="629" t="s">
        <v>635</v>
      </c>
      <c r="C93" s="630" t="s">
        <v>636</v>
      </c>
      <c r="D93" s="631">
        <f t="shared" si="58"/>
        <v>0</v>
      </c>
      <c r="E93" s="632"/>
      <c r="F93" s="633">
        <f t="shared" si="59"/>
        <v>0</v>
      </c>
      <c r="G93" s="1347"/>
      <c r="H93" s="1348"/>
      <c r="I93" s="1349"/>
      <c r="J93" s="633">
        <f t="shared" si="60"/>
        <v>0</v>
      </c>
      <c r="K93" s="634"/>
      <c r="L93" s="635"/>
      <c r="M93" s="636"/>
      <c r="N93" s="637"/>
      <c r="O93" s="638"/>
      <c r="P93" s="639"/>
    </row>
    <row r="94" spans="2:17" s="1" customFormat="1" x14ac:dyDescent="0.25">
      <c r="B94" s="640" t="s">
        <v>637</v>
      </c>
      <c r="C94" s="641" t="s">
        <v>638</v>
      </c>
      <c r="D94" s="642">
        <f t="shared" si="58"/>
        <v>0</v>
      </c>
      <c r="E94" s="643"/>
      <c r="F94" s="644">
        <f t="shared" si="59"/>
        <v>0</v>
      </c>
      <c r="G94" s="1350"/>
      <c r="H94" s="1351"/>
      <c r="I94" s="1352"/>
      <c r="J94" s="644">
        <f t="shared" si="60"/>
        <v>0</v>
      </c>
      <c r="K94" s="645"/>
      <c r="L94" s="646"/>
      <c r="M94" s="647"/>
      <c r="N94" s="648"/>
      <c r="O94" s="649"/>
      <c r="P94" s="650"/>
    </row>
    <row r="95" spans="2:17" s="1" customFormat="1" ht="15.75" thickBot="1" x14ac:dyDescent="0.3">
      <c r="B95" s="651" t="s">
        <v>639</v>
      </c>
      <c r="C95" s="652" t="s">
        <v>640</v>
      </c>
      <c r="D95" s="653">
        <f t="shared" si="58"/>
        <v>0</v>
      </c>
      <c r="E95" s="654"/>
      <c r="F95" s="655">
        <f t="shared" si="59"/>
        <v>0</v>
      </c>
      <c r="G95" s="1353"/>
      <c r="H95" s="1354"/>
      <c r="I95" s="1355"/>
      <c r="J95" s="655">
        <f t="shared" si="60"/>
        <v>0</v>
      </c>
      <c r="K95" s="656"/>
      <c r="L95" s="657"/>
      <c r="M95" s="658"/>
      <c r="N95" s="654"/>
      <c r="O95" s="659"/>
      <c r="P95" s="660"/>
    </row>
    <row r="96" spans="2:17" s="1" customFormat="1" ht="16.5" thickTop="1" thickBot="1" x14ac:dyDescent="0.3">
      <c r="B96" s="478" t="s">
        <v>77</v>
      </c>
      <c r="C96" s="479" t="s">
        <v>641</v>
      </c>
      <c r="D96" s="661">
        <f t="shared" ref="D96:P96" si="61">D97+D101+D106+D108+D111+D114</f>
        <v>83.412930000000003</v>
      </c>
      <c r="E96" s="662">
        <f t="shared" si="61"/>
        <v>0</v>
      </c>
      <c r="F96" s="663">
        <f t="shared" si="61"/>
        <v>36.159505155000005</v>
      </c>
      <c r="G96" s="664">
        <f t="shared" si="61"/>
        <v>2.5023879</v>
      </c>
      <c r="H96" s="665">
        <f t="shared" si="61"/>
        <v>8.3246104140000021</v>
      </c>
      <c r="I96" s="666">
        <f t="shared" si="61"/>
        <v>25.332506841000001</v>
      </c>
      <c r="J96" s="663">
        <f t="shared" si="61"/>
        <v>47.253424845000005</v>
      </c>
      <c r="K96" s="664">
        <f t="shared" si="61"/>
        <v>46.285834857000005</v>
      </c>
      <c r="L96" s="665">
        <f t="shared" si="61"/>
        <v>0.80910542099999994</v>
      </c>
      <c r="M96" s="667">
        <f t="shared" si="61"/>
        <v>0.15848456700000002</v>
      </c>
      <c r="N96" s="662">
        <f t="shared" si="61"/>
        <v>0</v>
      </c>
      <c r="O96" s="668">
        <f t="shared" si="61"/>
        <v>0</v>
      </c>
      <c r="P96" s="663">
        <f t="shared" si="61"/>
        <v>0</v>
      </c>
      <c r="Q96" s="591"/>
    </row>
    <row r="97" spans="2:16" s="1" customFormat="1" ht="15.75" thickTop="1" x14ac:dyDescent="0.25">
      <c r="B97" s="488" t="s">
        <v>497</v>
      </c>
      <c r="C97" s="489" t="s">
        <v>8</v>
      </c>
      <c r="D97" s="669">
        <f>SUM(D98:D100)</f>
        <v>0</v>
      </c>
      <c r="E97" s="670">
        <f>SUM(E98:E100)</f>
        <v>0</v>
      </c>
      <c r="F97" s="671">
        <f t="shared" ref="F97:F117" si="62">SUM(G97:I97)</f>
        <v>0</v>
      </c>
      <c r="G97" s="672">
        <f>SUM(G98:G100)</f>
        <v>0</v>
      </c>
      <c r="H97" s="673">
        <f>SUM(H98:H100)</f>
        <v>0</v>
      </c>
      <c r="I97" s="674">
        <f>SUM(I98:I100)</f>
        <v>0</v>
      </c>
      <c r="J97" s="671">
        <f t="shared" ref="J97:J117" si="63">SUM(K97:M97)</f>
        <v>0</v>
      </c>
      <c r="K97" s="672">
        <f t="shared" ref="K97:P97" si="64">SUM(K98:K100)</f>
        <v>0</v>
      </c>
      <c r="L97" s="673">
        <f t="shared" si="64"/>
        <v>0</v>
      </c>
      <c r="M97" s="675">
        <f t="shared" si="64"/>
        <v>0</v>
      </c>
      <c r="N97" s="670">
        <f t="shared" si="64"/>
        <v>0</v>
      </c>
      <c r="O97" s="676">
        <f t="shared" si="64"/>
        <v>0</v>
      </c>
      <c r="P97" s="671">
        <f t="shared" si="64"/>
        <v>0</v>
      </c>
    </row>
    <row r="98" spans="2:16" s="1" customFormat="1" x14ac:dyDescent="0.25">
      <c r="B98" s="498" t="s">
        <v>498</v>
      </c>
      <c r="C98" s="499" t="s">
        <v>10</v>
      </c>
      <c r="D98" s="677"/>
      <c r="E98" s="678">
        <f>IFERROR($D98*E119/100, 0)</f>
        <v>0</v>
      </c>
      <c r="F98" s="679">
        <f t="shared" si="62"/>
        <v>0</v>
      </c>
      <c r="G98" s="680">
        <f t="shared" ref="G98:I100" si="65">IFERROR($D98*G119/100, 0)</f>
        <v>0</v>
      </c>
      <c r="H98" s="681">
        <f t="shared" si="65"/>
        <v>0</v>
      </c>
      <c r="I98" s="682">
        <f t="shared" si="65"/>
        <v>0</v>
      </c>
      <c r="J98" s="679">
        <f t="shared" si="63"/>
        <v>0</v>
      </c>
      <c r="K98" s="680">
        <f t="shared" ref="K98:P100" si="66">IFERROR($D98*K119/100, 0)</f>
        <v>0</v>
      </c>
      <c r="L98" s="681">
        <f t="shared" si="66"/>
        <v>0</v>
      </c>
      <c r="M98" s="683">
        <f t="shared" si="66"/>
        <v>0</v>
      </c>
      <c r="N98" s="678">
        <f t="shared" si="66"/>
        <v>0</v>
      </c>
      <c r="O98" s="684">
        <f t="shared" si="66"/>
        <v>0</v>
      </c>
      <c r="P98" s="679">
        <f t="shared" si="66"/>
        <v>0</v>
      </c>
    </row>
    <row r="99" spans="2:16" s="1" customFormat="1" x14ac:dyDescent="0.25">
      <c r="B99" s="498" t="s">
        <v>642</v>
      </c>
      <c r="C99" s="499" t="s">
        <v>11</v>
      </c>
      <c r="D99" s="677"/>
      <c r="E99" s="678">
        <f>IFERROR($D99*E120/100, 0)</f>
        <v>0</v>
      </c>
      <c r="F99" s="679">
        <f t="shared" si="62"/>
        <v>0</v>
      </c>
      <c r="G99" s="680">
        <f t="shared" si="65"/>
        <v>0</v>
      </c>
      <c r="H99" s="681">
        <f t="shared" si="65"/>
        <v>0</v>
      </c>
      <c r="I99" s="682">
        <f t="shared" si="65"/>
        <v>0</v>
      </c>
      <c r="J99" s="679">
        <f t="shared" si="63"/>
        <v>0</v>
      </c>
      <c r="K99" s="680">
        <f t="shared" si="66"/>
        <v>0</v>
      </c>
      <c r="L99" s="681">
        <f t="shared" si="66"/>
        <v>0</v>
      </c>
      <c r="M99" s="683">
        <f t="shared" si="66"/>
        <v>0</v>
      </c>
      <c r="N99" s="678">
        <f t="shared" si="66"/>
        <v>0</v>
      </c>
      <c r="O99" s="684">
        <f t="shared" si="66"/>
        <v>0</v>
      </c>
      <c r="P99" s="679">
        <f t="shared" si="66"/>
        <v>0</v>
      </c>
    </row>
    <row r="100" spans="2:16" s="1" customFormat="1" x14ac:dyDescent="0.25">
      <c r="B100" s="498" t="s">
        <v>643</v>
      </c>
      <c r="C100" s="499" t="s">
        <v>13</v>
      </c>
      <c r="D100" s="677"/>
      <c r="E100" s="678">
        <f>IFERROR($D100*E121/100, 0)</f>
        <v>0</v>
      </c>
      <c r="F100" s="679">
        <f t="shared" si="62"/>
        <v>0</v>
      </c>
      <c r="G100" s="680">
        <f t="shared" si="65"/>
        <v>0</v>
      </c>
      <c r="H100" s="681">
        <f t="shared" si="65"/>
        <v>0</v>
      </c>
      <c r="I100" s="682">
        <f t="shared" si="65"/>
        <v>0</v>
      </c>
      <c r="J100" s="679">
        <f t="shared" si="63"/>
        <v>0</v>
      </c>
      <c r="K100" s="680">
        <f t="shared" si="66"/>
        <v>0</v>
      </c>
      <c r="L100" s="681">
        <f t="shared" si="66"/>
        <v>0</v>
      </c>
      <c r="M100" s="683">
        <f t="shared" si="66"/>
        <v>0</v>
      </c>
      <c r="N100" s="678">
        <f t="shared" si="66"/>
        <v>0</v>
      </c>
      <c r="O100" s="684">
        <f t="shared" si="66"/>
        <v>0</v>
      </c>
      <c r="P100" s="679">
        <f t="shared" si="66"/>
        <v>0</v>
      </c>
    </row>
    <row r="101" spans="2:16" s="1" customFormat="1" x14ac:dyDescent="0.25">
      <c r="B101" s="488" t="s">
        <v>171</v>
      </c>
      <c r="C101" s="509" t="s">
        <v>15</v>
      </c>
      <c r="D101" s="669">
        <f>SUM(D102:D105)</f>
        <v>78.165999999999997</v>
      </c>
      <c r="E101" s="670">
        <f>SUM(E102:E105)</f>
        <v>0</v>
      </c>
      <c r="F101" s="671">
        <f t="shared" si="62"/>
        <v>33.884961000000004</v>
      </c>
      <c r="G101" s="672">
        <f>SUM(G102:G105)</f>
        <v>2.3449800000000001</v>
      </c>
      <c r="H101" s="673">
        <f>SUM(H102:H105)</f>
        <v>7.8009668000000012</v>
      </c>
      <c r="I101" s="674">
        <f>SUM(I102:I105)</f>
        <v>23.7390142</v>
      </c>
      <c r="J101" s="671">
        <f t="shared" si="63"/>
        <v>44.281039000000007</v>
      </c>
      <c r="K101" s="672">
        <f t="shared" ref="K101:P101" si="67">SUM(K102:K105)</f>
        <v>43.374313400000005</v>
      </c>
      <c r="L101" s="673">
        <f t="shared" si="67"/>
        <v>0.75821019999999995</v>
      </c>
      <c r="M101" s="675">
        <f t="shared" si="67"/>
        <v>0.14851540000000002</v>
      </c>
      <c r="N101" s="670">
        <f t="shared" si="67"/>
        <v>0</v>
      </c>
      <c r="O101" s="676">
        <f t="shared" si="67"/>
        <v>0</v>
      </c>
      <c r="P101" s="671">
        <f t="shared" si="67"/>
        <v>0</v>
      </c>
    </row>
    <row r="102" spans="2:16" s="1" customFormat="1" x14ac:dyDescent="0.25">
      <c r="B102" s="498" t="s">
        <v>500</v>
      </c>
      <c r="C102" s="499" t="s">
        <v>17</v>
      </c>
      <c r="D102" s="677">
        <v>42.216520000000003</v>
      </c>
      <c r="E102" s="678">
        <f>IFERROR($D102*E122/100, 0)</f>
        <v>0</v>
      </c>
      <c r="F102" s="679">
        <f t="shared" si="62"/>
        <v>18.30086142</v>
      </c>
      <c r="G102" s="680">
        <f t="shared" ref="G102:I105" si="68">IFERROR($D102*G122/100, 0)</f>
        <v>1.2664956000000001</v>
      </c>
      <c r="H102" s="681">
        <f t="shared" si="68"/>
        <v>4.2132086960000006</v>
      </c>
      <c r="I102" s="682">
        <f t="shared" si="68"/>
        <v>12.821157124000001</v>
      </c>
      <c r="J102" s="679">
        <f t="shared" si="63"/>
        <v>23.915658579999999</v>
      </c>
      <c r="K102" s="680">
        <f t="shared" ref="K102:P105" si="69">IFERROR($D102*K122/100, 0)</f>
        <v>23.425946948</v>
      </c>
      <c r="L102" s="681">
        <f t="shared" si="69"/>
        <v>0.40950024400000001</v>
      </c>
      <c r="M102" s="683">
        <f t="shared" si="69"/>
        <v>8.0211388000000008E-2</v>
      </c>
      <c r="N102" s="678">
        <f t="shared" si="69"/>
        <v>0</v>
      </c>
      <c r="O102" s="684">
        <f t="shared" si="69"/>
        <v>0</v>
      </c>
      <c r="P102" s="679">
        <f t="shared" si="69"/>
        <v>0</v>
      </c>
    </row>
    <row r="103" spans="2:16" s="1" customFormat="1" x14ac:dyDescent="0.25">
      <c r="B103" s="498" t="s">
        <v>502</v>
      </c>
      <c r="C103" s="499" t="s">
        <v>597</v>
      </c>
      <c r="D103" s="677">
        <v>35.949480000000001</v>
      </c>
      <c r="E103" s="678">
        <f>IFERROR($D103*E123/100, 0)</f>
        <v>0</v>
      </c>
      <c r="F103" s="679">
        <f t="shared" si="62"/>
        <v>15.58409958</v>
      </c>
      <c r="G103" s="680">
        <f t="shared" si="68"/>
        <v>1.0784844</v>
      </c>
      <c r="H103" s="681">
        <f t="shared" si="68"/>
        <v>3.5877581040000002</v>
      </c>
      <c r="I103" s="682">
        <f t="shared" si="68"/>
        <v>10.917857076000001</v>
      </c>
      <c r="J103" s="679">
        <f t="shared" si="63"/>
        <v>20.365380420000001</v>
      </c>
      <c r="K103" s="680">
        <f t="shared" si="69"/>
        <v>19.948366452000002</v>
      </c>
      <c r="L103" s="681">
        <f t="shared" si="69"/>
        <v>0.34870995599999999</v>
      </c>
      <c r="M103" s="683">
        <f t="shared" si="69"/>
        <v>6.8304012000000011E-2</v>
      </c>
      <c r="N103" s="678">
        <f t="shared" si="69"/>
        <v>0</v>
      </c>
      <c r="O103" s="684">
        <f t="shared" si="69"/>
        <v>0</v>
      </c>
      <c r="P103" s="679">
        <f t="shared" si="69"/>
        <v>0</v>
      </c>
    </row>
    <row r="104" spans="2:16" s="1" customFormat="1" x14ac:dyDescent="0.25">
      <c r="B104" s="498" t="s">
        <v>644</v>
      </c>
      <c r="C104" s="499" t="s">
        <v>23</v>
      </c>
      <c r="D104" s="677"/>
      <c r="E104" s="678">
        <f>IFERROR($D104*E124/100, 0)</f>
        <v>0</v>
      </c>
      <c r="F104" s="679">
        <f t="shared" si="62"/>
        <v>0</v>
      </c>
      <c r="G104" s="680">
        <f t="shared" si="68"/>
        <v>0</v>
      </c>
      <c r="H104" s="681">
        <f t="shared" si="68"/>
        <v>0</v>
      </c>
      <c r="I104" s="682">
        <f t="shared" si="68"/>
        <v>0</v>
      </c>
      <c r="J104" s="679">
        <f t="shared" si="63"/>
        <v>0</v>
      </c>
      <c r="K104" s="680">
        <f t="shared" si="69"/>
        <v>0</v>
      </c>
      <c r="L104" s="681">
        <f t="shared" si="69"/>
        <v>0</v>
      </c>
      <c r="M104" s="683">
        <f t="shared" si="69"/>
        <v>0</v>
      </c>
      <c r="N104" s="678">
        <f t="shared" si="69"/>
        <v>0</v>
      </c>
      <c r="O104" s="684">
        <f t="shared" si="69"/>
        <v>0</v>
      </c>
      <c r="P104" s="679">
        <f t="shared" si="69"/>
        <v>0</v>
      </c>
    </row>
    <row r="105" spans="2:16" s="1" customFormat="1" x14ac:dyDescent="0.25">
      <c r="B105" s="498" t="s">
        <v>645</v>
      </c>
      <c r="C105" s="499" t="s">
        <v>646</v>
      </c>
      <c r="D105" s="677"/>
      <c r="E105" s="678">
        <f>IFERROR($D105*E125/100, 0)</f>
        <v>0</v>
      </c>
      <c r="F105" s="679">
        <f t="shared" si="62"/>
        <v>0</v>
      </c>
      <c r="G105" s="680">
        <f t="shared" si="68"/>
        <v>0</v>
      </c>
      <c r="H105" s="681">
        <f t="shared" si="68"/>
        <v>0</v>
      </c>
      <c r="I105" s="682">
        <f t="shared" si="68"/>
        <v>0</v>
      </c>
      <c r="J105" s="679">
        <f t="shared" si="63"/>
        <v>0</v>
      </c>
      <c r="K105" s="680">
        <f t="shared" si="69"/>
        <v>0</v>
      </c>
      <c r="L105" s="681">
        <f t="shared" si="69"/>
        <v>0</v>
      </c>
      <c r="M105" s="683">
        <f t="shared" si="69"/>
        <v>0</v>
      </c>
      <c r="N105" s="678">
        <f t="shared" si="69"/>
        <v>0</v>
      </c>
      <c r="O105" s="684">
        <f t="shared" si="69"/>
        <v>0</v>
      </c>
      <c r="P105" s="679">
        <f t="shared" si="69"/>
        <v>0</v>
      </c>
    </row>
    <row r="106" spans="2:16" s="1" customFormat="1" x14ac:dyDescent="0.25">
      <c r="B106" s="488" t="s">
        <v>173</v>
      </c>
      <c r="C106" s="513" t="s">
        <v>27</v>
      </c>
      <c r="D106" s="669">
        <f>D107</f>
        <v>0</v>
      </c>
      <c r="E106" s="670">
        <f>E107</f>
        <v>0</v>
      </c>
      <c r="F106" s="671">
        <f t="shared" si="62"/>
        <v>0</v>
      </c>
      <c r="G106" s="672">
        <f>G107</f>
        <v>0</v>
      </c>
      <c r="H106" s="673">
        <f>H107</f>
        <v>0</v>
      </c>
      <c r="I106" s="674">
        <f>I107</f>
        <v>0</v>
      </c>
      <c r="J106" s="671">
        <f t="shared" si="63"/>
        <v>0</v>
      </c>
      <c r="K106" s="672">
        <f t="shared" ref="K106:P106" si="70">K107</f>
        <v>0</v>
      </c>
      <c r="L106" s="673">
        <f t="shared" si="70"/>
        <v>0</v>
      </c>
      <c r="M106" s="675">
        <f t="shared" si="70"/>
        <v>0</v>
      </c>
      <c r="N106" s="670">
        <f t="shared" si="70"/>
        <v>0</v>
      </c>
      <c r="O106" s="676">
        <f t="shared" si="70"/>
        <v>0</v>
      </c>
      <c r="P106" s="671">
        <f t="shared" si="70"/>
        <v>0</v>
      </c>
    </row>
    <row r="107" spans="2:16" s="1" customFormat="1" x14ac:dyDescent="0.25">
      <c r="B107" s="498" t="s">
        <v>503</v>
      </c>
      <c r="C107" s="514" t="s">
        <v>647</v>
      </c>
      <c r="D107" s="677"/>
      <c r="E107" s="678">
        <f>IFERROR($D107*E126/100, 0)</f>
        <v>0</v>
      </c>
      <c r="F107" s="679">
        <f t="shared" si="62"/>
        <v>0</v>
      </c>
      <c r="G107" s="680">
        <f>IFERROR($D107*G126/100, 0)</f>
        <v>0</v>
      </c>
      <c r="H107" s="681">
        <f>IFERROR($D107*H126/100, 0)</f>
        <v>0</v>
      </c>
      <c r="I107" s="682">
        <f>IFERROR($D107*I126/100, 0)</f>
        <v>0</v>
      </c>
      <c r="J107" s="679">
        <f t="shared" si="63"/>
        <v>0</v>
      </c>
      <c r="K107" s="680">
        <f t="shared" ref="K107:P107" si="71">IFERROR($D107*K126/100, 0)</f>
        <v>0</v>
      </c>
      <c r="L107" s="681">
        <f t="shared" si="71"/>
        <v>0</v>
      </c>
      <c r="M107" s="683">
        <f t="shared" si="71"/>
        <v>0</v>
      </c>
      <c r="N107" s="678">
        <f t="shared" si="71"/>
        <v>0</v>
      </c>
      <c r="O107" s="684">
        <f t="shared" si="71"/>
        <v>0</v>
      </c>
      <c r="P107" s="679">
        <f t="shared" si="71"/>
        <v>0</v>
      </c>
    </row>
    <row r="108" spans="2:16" s="1" customFormat="1" x14ac:dyDescent="0.25">
      <c r="B108" s="488" t="s">
        <v>175</v>
      </c>
      <c r="C108" s="513" t="s">
        <v>33</v>
      </c>
      <c r="D108" s="669">
        <f>D109+D110</f>
        <v>5.2469299999999999</v>
      </c>
      <c r="E108" s="670">
        <f>E109+E110</f>
        <v>0</v>
      </c>
      <c r="F108" s="671">
        <f t="shared" si="62"/>
        <v>2.2745441550000001</v>
      </c>
      <c r="G108" s="672">
        <f>G109+G110</f>
        <v>0.15740790000000002</v>
      </c>
      <c r="H108" s="673">
        <f>H109+H110</f>
        <v>0.52364361400000003</v>
      </c>
      <c r="I108" s="674">
        <f>I109+I110</f>
        <v>1.5934926410000001</v>
      </c>
      <c r="J108" s="671">
        <f t="shared" si="63"/>
        <v>2.9723858450000002</v>
      </c>
      <c r="K108" s="672">
        <f t="shared" ref="K108:P108" si="72">K109+K110</f>
        <v>2.9115214570000001</v>
      </c>
      <c r="L108" s="673">
        <f t="shared" si="72"/>
        <v>5.0895220999999997E-2</v>
      </c>
      <c r="M108" s="675">
        <f t="shared" si="72"/>
        <v>9.9691669999999993E-3</v>
      </c>
      <c r="N108" s="670">
        <f t="shared" si="72"/>
        <v>0</v>
      </c>
      <c r="O108" s="676">
        <f t="shared" si="72"/>
        <v>0</v>
      </c>
      <c r="P108" s="671">
        <f t="shared" si="72"/>
        <v>0</v>
      </c>
    </row>
    <row r="109" spans="2:16" s="1" customFormat="1" x14ac:dyDescent="0.25">
      <c r="B109" s="515" t="s">
        <v>504</v>
      </c>
      <c r="C109" s="514" t="s">
        <v>600</v>
      </c>
      <c r="D109" s="677"/>
      <c r="E109" s="678">
        <f>IFERROR($D109*E127/100, 0)</f>
        <v>0</v>
      </c>
      <c r="F109" s="679">
        <f t="shared" si="62"/>
        <v>0</v>
      </c>
      <c r="G109" s="680">
        <f t="shared" ref="G109:I110" si="73">IFERROR($D109*G127/100, 0)</f>
        <v>0</v>
      </c>
      <c r="H109" s="681">
        <f t="shared" si="73"/>
        <v>0</v>
      </c>
      <c r="I109" s="682">
        <f t="shared" si="73"/>
        <v>0</v>
      </c>
      <c r="J109" s="679">
        <f t="shared" si="63"/>
        <v>0</v>
      </c>
      <c r="K109" s="680">
        <f t="shared" ref="K109:P110" si="74">IFERROR($D109*K127/100, 0)</f>
        <v>0</v>
      </c>
      <c r="L109" s="681">
        <f t="shared" si="74"/>
        <v>0</v>
      </c>
      <c r="M109" s="683">
        <f t="shared" si="74"/>
        <v>0</v>
      </c>
      <c r="N109" s="678">
        <f t="shared" si="74"/>
        <v>0</v>
      </c>
      <c r="O109" s="684">
        <f t="shared" si="74"/>
        <v>0</v>
      </c>
      <c r="P109" s="679">
        <f t="shared" si="74"/>
        <v>0</v>
      </c>
    </row>
    <row r="110" spans="2:16" s="1" customFormat="1" ht="26.25" x14ac:dyDescent="0.25">
      <c r="B110" s="515" t="s">
        <v>505</v>
      </c>
      <c r="C110" s="570" t="s">
        <v>601</v>
      </c>
      <c r="D110" s="677">
        <v>5.2469299999999999</v>
      </c>
      <c r="E110" s="678">
        <f>IFERROR($D110*E128/100, 0)</f>
        <v>0</v>
      </c>
      <c r="F110" s="679">
        <f t="shared" si="62"/>
        <v>2.2745441550000001</v>
      </c>
      <c r="G110" s="680">
        <f t="shared" si="73"/>
        <v>0.15740790000000002</v>
      </c>
      <c r="H110" s="681">
        <f t="shared" si="73"/>
        <v>0.52364361400000003</v>
      </c>
      <c r="I110" s="682">
        <f t="shared" si="73"/>
        <v>1.5934926410000001</v>
      </c>
      <c r="J110" s="679">
        <f t="shared" si="63"/>
        <v>2.9723858450000002</v>
      </c>
      <c r="K110" s="680">
        <f t="shared" si="74"/>
        <v>2.9115214570000001</v>
      </c>
      <c r="L110" s="681">
        <f t="shared" si="74"/>
        <v>5.0895220999999997E-2</v>
      </c>
      <c r="M110" s="683">
        <f t="shared" si="74"/>
        <v>9.9691669999999993E-3</v>
      </c>
      <c r="N110" s="678">
        <f t="shared" si="74"/>
        <v>0</v>
      </c>
      <c r="O110" s="684">
        <f t="shared" si="74"/>
        <v>0</v>
      </c>
      <c r="P110" s="679">
        <f t="shared" si="74"/>
        <v>0</v>
      </c>
    </row>
    <row r="111" spans="2:16" s="1" customFormat="1" x14ac:dyDescent="0.25">
      <c r="B111" s="488" t="s">
        <v>177</v>
      </c>
      <c r="C111" s="525" t="s">
        <v>39</v>
      </c>
      <c r="D111" s="685">
        <f>D112+D113</f>
        <v>0</v>
      </c>
      <c r="E111" s="686">
        <f>E112+E113</f>
        <v>0</v>
      </c>
      <c r="F111" s="687">
        <f t="shared" si="62"/>
        <v>0</v>
      </c>
      <c r="G111" s="688">
        <f>G112+G113</f>
        <v>0</v>
      </c>
      <c r="H111" s="689">
        <f>H112+H113</f>
        <v>0</v>
      </c>
      <c r="I111" s="690">
        <f>I112+I113</f>
        <v>0</v>
      </c>
      <c r="J111" s="687">
        <f t="shared" si="63"/>
        <v>0</v>
      </c>
      <c r="K111" s="688">
        <f t="shared" ref="K111:P111" si="75">K112+K113</f>
        <v>0</v>
      </c>
      <c r="L111" s="689">
        <f t="shared" si="75"/>
        <v>0</v>
      </c>
      <c r="M111" s="691">
        <f t="shared" si="75"/>
        <v>0</v>
      </c>
      <c r="N111" s="686">
        <f t="shared" si="75"/>
        <v>0</v>
      </c>
      <c r="O111" s="692">
        <f t="shared" si="75"/>
        <v>0</v>
      </c>
      <c r="P111" s="687">
        <f t="shared" si="75"/>
        <v>0</v>
      </c>
    </row>
    <row r="112" spans="2:16" s="1" customFormat="1" x14ac:dyDescent="0.25">
      <c r="B112" s="533" t="s">
        <v>648</v>
      </c>
      <c r="C112" s="534" t="s">
        <v>41</v>
      </c>
      <c r="D112" s="693"/>
      <c r="E112" s="678">
        <f>IFERROR($D112*E129/100, 0)</f>
        <v>0</v>
      </c>
      <c r="F112" s="679">
        <f t="shared" si="62"/>
        <v>0</v>
      </c>
      <c r="G112" s="680">
        <f t="shared" ref="G112:I113" si="76">IFERROR($D112*G129/100, 0)</f>
        <v>0</v>
      </c>
      <c r="H112" s="681">
        <f t="shared" si="76"/>
        <v>0</v>
      </c>
      <c r="I112" s="682">
        <f t="shared" si="76"/>
        <v>0</v>
      </c>
      <c r="J112" s="679">
        <f t="shared" si="63"/>
        <v>0</v>
      </c>
      <c r="K112" s="680">
        <f t="shared" ref="K112:P113" si="77">IFERROR($D112*K129/100, 0)</f>
        <v>0</v>
      </c>
      <c r="L112" s="681">
        <f t="shared" si="77"/>
        <v>0</v>
      </c>
      <c r="M112" s="683">
        <f t="shared" si="77"/>
        <v>0</v>
      </c>
      <c r="N112" s="678">
        <f t="shared" si="77"/>
        <v>0</v>
      </c>
      <c r="O112" s="684">
        <f t="shared" si="77"/>
        <v>0</v>
      </c>
      <c r="P112" s="679">
        <f t="shared" si="77"/>
        <v>0</v>
      </c>
    </row>
    <row r="113" spans="2:16" s="1" customFormat="1" x14ac:dyDescent="0.25">
      <c r="B113" s="533" t="s">
        <v>649</v>
      </c>
      <c r="C113" s="541" t="s">
        <v>650</v>
      </c>
      <c r="D113" s="693"/>
      <c r="E113" s="678">
        <f>IFERROR($D113*E130/100, 0)</f>
        <v>0</v>
      </c>
      <c r="F113" s="679">
        <f t="shared" si="62"/>
        <v>0</v>
      </c>
      <c r="G113" s="680">
        <f t="shared" si="76"/>
        <v>0</v>
      </c>
      <c r="H113" s="681">
        <f t="shared" si="76"/>
        <v>0</v>
      </c>
      <c r="I113" s="682">
        <f t="shared" si="76"/>
        <v>0</v>
      </c>
      <c r="J113" s="679">
        <f t="shared" si="63"/>
        <v>0</v>
      </c>
      <c r="K113" s="680">
        <f t="shared" si="77"/>
        <v>0</v>
      </c>
      <c r="L113" s="681">
        <f t="shared" si="77"/>
        <v>0</v>
      </c>
      <c r="M113" s="683">
        <f t="shared" si="77"/>
        <v>0</v>
      </c>
      <c r="N113" s="678">
        <f t="shared" si="77"/>
        <v>0</v>
      </c>
      <c r="O113" s="684">
        <f t="shared" si="77"/>
        <v>0</v>
      </c>
      <c r="P113" s="679">
        <f t="shared" si="77"/>
        <v>0</v>
      </c>
    </row>
    <row r="114" spans="2:16" s="1" customFormat="1" x14ac:dyDescent="0.25">
      <c r="B114" s="544" t="s">
        <v>179</v>
      </c>
      <c r="C114" s="545" t="s">
        <v>602</v>
      </c>
      <c r="D114" s="685">
        <f>SUM(D115:D117)</f>
        <v>0</v>
      </c>
      <c r="E114" s="694">
        <f>SUM(E115:E117)</f>
        <v>0</v>
      </c>
      <c r="F114" s="687">
        <f t="shared" si="62"/>
        <v>0</v>
      </c>
      <c r="G114" s="694">
        <f>SUM(G115:G117)</f>
        <v>0</v>
      </c>
      <c r="H114" s="695">
        <f t="shared" ref="H114:I114" si="78">SUM(H115:H117)</f>
        <v>0</v>
      </c>
      <c r="I114" s="696">
        <f t="shared" si="78"/>
        <v>0</v>
      </c>
      <c r="J114" s="687">
        <f t="shared" si="63"/>
        <v>0</v>
      </c>
      <c r="K114" s="695">
        <f t="shared" ref="K114" si="79">SUM(K115:K117)</f>
        <v>0</v>
      </c>
      <c r="L114" s="695">
        <f t="shared" ref="L114" si="80">SUM(L115:L117)</f>
        <v>0</v>
      </c>
      <c r="M114" s="697">
        <f t="shared" ref="M114" si="81">SUM(M115:M117)</f>
        <v>0</v>
      </c>
      <c r="N114" s="695">
        <f t="shared" ref="N114" si="82">SUM(N115:N117)</f>
        <v>0</v>
      </c>
      <c r="O114" s="698">
        <f t="shared" ref="O114:P114" si="83">SUM(O115:O117)</f>
        <v>0</v>
      </c>
      <c r="P114" s="699">
        <f t="shared" si="83"/>
        <v>0</v>
      </c>
    </row>
    <row r="115" spans="2:16" s="1" customFormat="1" x14ac:dyDescent="0.25">
      <c r="B115" s="546" t="s">
        <v>509</v>
      </c>
      <c r="C115" s="547" t="s">
        <v>603</v>
      </c>
      <c r="D115" s="700"/>
      <c r="E115" s="678">
        <f>IFERROR($D115*E131/100, 0)</f>
        <v>0</v>
      </c>
      <c r="F115" s="679">
        <f t="shared" si="62"/>
        <v>0</v>
      </c>
      <c r="G115" s="680">
        <f t="shared" ref="G115:I117" si="84">IFERROR($D115*G131/100, 0)</f>
        <v>0</v>
      </c>
      <c r="H115" s="681">
        <f t="shared" si="84"/>
        <v>0</v>
      </c>
      <c r="I115" s="682">
        <f t="shared" si="84"/>
        <v>0</v>
      </c>
      <c r="J115" s="679">
        <f t="shared" si="63"/>
        <v>0</v>
      </c>
      <c r="K115" s="680">
        <f t="shared" ref="K115:P117" si="85">IFERROR($D115*K131/100, 0)</f>
        <v>0</v>
      </c>
      <c r="L115" s="681">
        <f t="shared" si="85"/>
        <v>0</v>
      </c>
      <c r="M115" s="683">
        <f t="shared" si="85"/>
        <v>0</v>
      </c>
      <c r="N115" s="678">
        <f t="shared" si="85"/>
        <v>0</v>
      </c>
      <c r="O115" s="684">
        <f t="shared" si="85"/>
        <v>0</v>
      </c>
      <c r="P115" s="679">
        <f t="shared" si="85"/>
        <v>0</v>
      </c>
    </row>
    <row r="116" spans="2:16" s="1" customFormat="1" x14ac:dyDescent="0.25">
      <c r="B116" s="533" t="s">
        <v>510</v>
      </c>
      <c r="C116" s="547" t="s">
        <v>603</v>
      </c>
      <c r="D116" s="700"/>
      <c r="E116" s="678">
        <f>IFERROR($D116*E132/100, 0)</f>
        <v>0</v>
      </c>
      <c r="F116" s="679">
        <f t="shared" si="62"/>
        <v>0</v>
      </c>
      <c r="G116" s="680">
        <f t="shared" si="84"/>
        <v>0</v>
      </c>
      <c r="H116" s="681">
        <f t="shared" si="84"/>
        <v>0</v>
      </c>
      <c r="I116" s="682">
        <f t="shared" si="84"/>
        <v>0</v>
      </c>
      <c r="J116" s="679">
        <f t="shared" si="63"/>
        <v>0</v>
      </c>
      <c r="K116" s="680">
        <f t="shared" si="85"/>
        <v>0</v>
      </c>
      <c r="L116" s="681">
        <f t="shared" si="85"/>
        <v>0</v>
      </c>
      <c r="M116" s="683">
        <f t="shared" si="85"/>
        <v>0</v>
      </c>
      <c r="N116" s="678">
        <f t="shared" si="85"/>
        <v>0</v>
      </c>
      <c r="O116" s="684">
        <f t="shared" si="85"/>
        <v>0</v>
      </c>
      <c r="P116" s="679">
        <f t="shared" si="85"/>
        <v>0</v>
      </c>
    </row>
    <row r="117" spans="2:16" s="1" customFormat="1" ht="15.75" thickBot="1" x14ac:dyDescent="0.3">
      <c r="B117" s="603" t="s">
        <v>511</v>
      </c>
      <c r="C117" s="550" t="s">
        <v>603</v>
      </c>
      <c r="D117" s="677"/>
      <c r="E117" s="678">
        <f>IFERROR($D117*E133/100, 0)</f>
        <v>0</v>
      </c>
      <c r="F117" s="679">
        <f t="shared" si="62"/>
        <v>0</v>
      </c>
      <c r="G117" s="680">
        <f t="shared" si="84"/>
        <v>0</v>
      </c>
      <c r="H117" s="681">
        <f t="shared" si="84"/>
        <v>0</v>
      </c>
      <c r="I117" s="682">
        <f t="shared" si="84"/>
        <v>0</v>
      </c>
      <c r="J117" s="679">
        <f t="shared" si="63"/>
        <v>0</v>
      </c>
      <c r="K117" s="680">
        <f t="shared" si="85"/>
        <v>0</v>
      </c>
      <c r="L117" s="681">
        <f t="shared" si="85"/>
        <v>0</v>
      </c>
      <c r="M117" s="683">
        <f t="shared" si="85"/>
        <v>0</v>
      </c>
      <c r="N117" s="678">
        <f t="shared" si="85"/>
        <v>0</v>
      </c>
      <c r="O117" s="684">
        <f t="shared" si="85"/>
        <v>0</v>
      </c>
      <c r="P117" s="679">
        <f t="shared" si="85"/>
        <v>0</v>
      </c>
    </row>
    <row r="118" spans="2:16" s="1" customFormat="1" ht="68.25" customHeight="1" thickBot="1" x14ac:dyDescent="0.3">
      <c r="B118" s="467" t="s">
        <v>79</v>
      </c>
      <c r="C118" s="474" t="s">
        <v>651</v>
      </c>
      <c r="D118" s="613" t="s">
        <v>255</v>
      </c>
      <c r="E118" s="476" t="s">
        <v>256</v>
      </c>
      <c r="F118" s="470" t="s">
        <v>257</v>
      </c>
      <c r="G118" s="614" t="s">
        <v>258</v>
      </c>
      <c r="H118" s="615" t="s">
        <v>259</v>
      </c>
      <c r="I118" s="616" t="s">
        <v>260</v>
      </c>
      <c r="J118" s="474" t="s">
        <v>261</v>
      </c>
      <c r="K118" s="614" t="s">
        <v>262</v>
      </c>
      <c r="L118" s="615" t="s">
        <v>263</v>
      </c>
      <c r="M118" s="617" t="s">
        <v>264</v>
      </c>
      <c r="N118" s="476" t="s">
        <v>619</v>
      </c>
      <c r="O118" s="477" t="s">
        <v>458</v>
      </c>
      <c r="P118" s="474" t="s">
        <v>459</v>
      </c>
    </row>
    <row r="119" spans="2:16" s="1" customFormat="1" x14ac:dyDescent="0.25">
      <c r="B119" s="618" t="s">
        <v>212</v>
      </c>
      <c r="C119" s="619" t="s">
        <v>652</v>
      </c>
      <c r="D119" s="620">
        <f t="shared" ref="D119:D134" si="86">E119+F119+J119+N119+O119+P119</f>
        <v>0</v>
      </c>
      <c r="E119" s="701"/>
      <c r="F119" s="622">
        <f t="shared" ref="F119:F134" si="87">SUM(G119:I119)</f>
        <v>0</v>
      </c>
      <c r="G119" s="702"/>
      <c r="H119" s="703"/>
      <c r="I119" s="704"/>
      <c r="J119" s="622">
        <f t="shared" ref="J119:J134" si="88">SUM(K119:M119)</f>
        <v>0</v>
      </c>
      <c r="K119" s="702"/>
      <c r="L119" s="703"/>
      <c r="M119" s="705"/>
      <c r="N119" s="706"/>
      <c r="O119" s="707"/>
      <c r="P119" s="708"/>
    </row>
    <row r="120" spans="2:16" s="1" customFormat="1" x14ac:dyDescent="0.25">
      <c r="B120" s="629" t="s">
        <v>214</v>
      </c>
      <c r="C120" s="630" t="s">
        <v>653</v>
      </c>
      <c r="D120" s="631">
        <f t="shared" si="86"/>
        <v>0</v>
      </c>
      <c r="E120" s="701"/>
      <c r="F120" s="633">
        <f t="shared" si="87"/>
        <v>0</v>
      </c>
      <c r="G120" s="709"/>
      <c r="H120" s="710"/>
      <c r="I120" s="711"/>
      <c r="J120" s="633">
        <f t="shared" si="88"/>
        <v>0</v>
      </c>
      <c r="K120" s="709"/>
      <c r="L120" s="710"/>
      <c r="M120" s="712"/>
      <c r="N120" s="713"/>
      <c r="O120" s="714"/>
      <c r="P120" s="715"/>
    </row>
    <row r="121" spans="2:16" s="1" customFormat="1" x14ac:dyDescent="0.25">
      <c r="B121" s="629" t="s">
        <v>222</v>
      </c>
      <c r="C121" s="630" t="s">
        <v>654</v>
      </c>
      <c r="D121" s="631">
        <f t="shared" si="86"/>
        <v>0</v>
      </c>
      <c r="E121" s="701"/>
      <c r="F121" s="633">
        <f t="shared" si="87"/>
        <v>0</v>
      </c>
      <c r="G121" s="709"/>
      <c r="H121" s="710"/>
      <c r="I121" s="711"/>
      <c r="J121" s="633">
        <f t="shared" si="88"/>
        <v>0</v>
      </c>
      <c r="K121" s="709"/>
      <c r="L121" s="710"/>
      <c r="M121" s="712"/>
      <c r="N121" s="713"/>
      <c r="O121" s="714"/>
      <c r="P121" s="715"/>
    </row>
    <row r="122" spans="2:16" s="1" customFormat="1" x14ac:dyDescent="0.25">
      <c r="B122" s="640" t="s">
        <v>224</v>
      </c>
      <c r="C122" s="630" t="s">
        <v>655</v>
      </c>
      <c r="D122" s="631">
        <f t="shared" si="86"/>
        <v>100</v>
      </c>
      <c r="E122" s="701"/>
      <c r="F122" s="633">
        <f t="shared" si="87"/>
        <v>43.35</v>
      </c>
      <c r="G122" s="709">
        <v>3</v>
      </c>
      <c r="H122" s="710">
        <v>9.98</v>
      </c>
      <c r="I122" s="711">
        <v>30.37</v>
      </c>
      <c r="J122" s="633">
        <f t="shared" si="88"/>
        <v>56.65</v>
      </c>
      <c r="K122" s="709">
        <v>55.49</v>
      </c>
      <c r="L122" s="710">
        <v>0.97</v>
      </c>
      <c r="M122" s="712">
        <v>0.19</v>
      </c>
      <c r="N122" s="713"/>
      <c r="O122" s="714"/>
      <c r="P122" s="715"/>
    </row>
    <row r="123" spans="2:16" s="1" customFormat="1" x14ac:dyDescent="0.25">
      <c r="B123" s="629" t="s">
        <v>656</v>
      </c>
      <c r="C123" s="630" t="s">
        <v>657</v>
      </c>
      <c r="D123" s="631">
        <f t="shared" si="86"/>
        <v>100</v>
      </c>
      <c r="E123" s="701"/>
      <c r="F123" s="633">
        <f t="shared" si="87"/>
        <v>43.35</v>
      </c>
      <c r="G123" s="709">
        <v>3</v>
      </c>
      <c r="H123" s="710">
        <v>9.98</v>
      </c>
      <c r="I123" s="711">
        <v>30.37</v>
      </c>
      <c r="J123" s="633">
        <f t="shared" si="88"/>
        <v>56.65</v>
      </c>
      <c r="K123" s="709">
        <v>55.49</v>
      </c>
      <c r="L123" s="710">
        <v>0.97</v>
      </c>
      <c r="M123" s="712">
        <v>0.19</v>
      </c>
      <c r="N123" s="713"/>
      <c r="O123" s="714"/>
      <c r="P123" s="715"/>
    </row>
    <row r="124" spans="2:16" s="1" customFormat="1" x14ac:dyDescent="0.25">
      <c r="B124" s="629" t="s">
        <v>658</v>
      </c>
      <c r="C124" s="630" t="s">
        <v>659</v>
      </c>
      <c r="D124" s="631">
        <f t="shared" si="86"/>
        <v>0</v>
      </c>
      <c r="E124" s="701"/>
      <c r="F124" s="633">
        <f t="shared" si="87"/>
        <v>0</v>
      </c>
      <c r="G124" s="709"/>
      <c r="H124" s="710"/>
      <c r="I124" s="711"/>
      <c r="J124" s="633">
        <f t="shared" si="88"/>
        <v>0</v>
      </c>
      <c r="K124" s="709"/>
      <c r="L124" s="710"/>
      <c r="M124" s="712"/>
      <c r="N124" s="713"/>
      <c r="O124" s="714"/>
      <c r="P124" s="715"/>
    </row>
    <row r="125" spans="2:16" s="1" customFormat="1" x14ac:dyDescent="0.25">
      <c r="B125" s="629" t="s">
        <v>660</v>
      </c>
      <c r="C125" s="630" t="s">
        <v>661</v>
      </c>
      <c r="D125" s="631">
        <f t="shared" si="86"/>
        <v>0</v>
      </c>
      <c r="E125" s="701"/>
      <c r="F125" s="633">
        <f t="shared" si="87"/>
        <v>0</v>
      </c>
      <c r="G125" s="709"/>
      <c r="H125" s="710"/>
      <c r="I125" s="711"/>
      <c r="J125" s="633">
        <f t="shared" si="88"/>
        <v>0</v>
      </c>
      <c r="K125" s="709"/>
      <c r="L125" s="710"/>
      <c r="M125" s="712"/>
      <c r="N125" s="713"/>
      <c r="O125" s="714"/>
      <c r="P125" s="715"/>
    </row>
    <row r="126" spans="2:16" s="1" customFormat="1" x14ac:dyDescent="0.25">
      <c r="B126" s="640" t="s">
        <v>662</v>
      </c>
      <c r="C126" s="630" t="s">
        <v>663</v>
      </c>
      <c r="D126" s="631">
        <f t="shared" si="86"/>
        <v>0</v>
      </c>
      <c r="E126" s="701"/>
      <c r="F126" s="633">
        <f t="shared" si="87"/>
        <v>0</v>
      </c>
      <c r="G126" s="709"/>
      <c r="H126" s="710"/>
      <c r="I126" s="711"/>
      <c r="J126" s="633">
        <f t="shared" si="88"/>
        <v>0</v>
      </c>
      <c r="K126" s="709"/>
      <c r="L126" s="710"/>
      <c r="M126" s="712"/>
      <c r="N126" s="713"/>
      <c r="O126" s="714"/>
      <c r="P126" s="715"/>
    </row>
    <row r="127" spans="2:16" s="1" customFormat="1" x14ac:dyDescent="0.25">
      <c r="B127" s="640" t="s">
        <v>664</v>
      </c>
      <c r="C127" s="630" t="s">
        <v>665</v>
      </c>
      <c r="D127" s="631">
        <f t="shared" si="86"/>
        <v>0</v>
      </c>
      <c r="E127" s="701"/>
      <c r="F127" s="633">
        <f t="shared" si="87"/>
        <v>0</v>
      </c>
      <c r="G127" s="709"/>
      <c r="H127" s="710"/>
      <c r="I127" s="711"/>
      <c r="J127" s="633">
        <f t="shared" si="88"/>
        <v>0</v>
      </c>
      <c r="K127" s="709"/>
      <c r="L127" s="710"/>
      <c r="M127" s="712"/>
      <c r="N127" s="713"/>
      <c r="O127" s="714"/>
      <c r="P127" s="715"/>
    </row>
    <row r="128" spans="2:16" s="1" customFormat="1" x14ac:dyDescent="0.25">
      <c r="B128" s="640" t="s">
        <v>666</v>
      </c>
      <c r="C128" s="630" t="s">
        <v>667</v>
      </c>
      <c r="D128" s="631">
        <f t="shared" si="86"/>
        <v>100</v>
      </c>
      <c r="E128" s="701"/>
      <c r="F128" s="633">
        <f t="shared" si="87"/>
        <v>43.35</v>
      </c>
      <c r="G128" s="709">
        <v>3</v>
      </c>
      <c r="H128" s="710">
        <v>9.98</v>
      </c>
      <c r="I128" s="711">
        <v>30.37</v>
      </c>
      <c r="J128" s="633">
        <f t="shared" si="88"/>
        <v>56.65</v>
      </c>
      <c r="K128" s="709">
        <v>55.49</v>
      </c>
      <c r="L128" s="710">
        <v>0.97</v>
      </c>
      <c r="M128" s="712">
        <v>0.19</v>
      </c>
      <c r="N128" s="713"/>
      <c r="O128" s="714"/>
      <c r="P128" s="715"/>
    </row>
    <row r="129" spans="2:16" s="1" customFormat="1" x14ac:dyDescent="0.25">
      <c r="B129" s="640" t="s">
        <v>668</v>
      </c>
      <c r="C129" s="630" t="s">
        <v>669</v>
      </c>
      <c r="D129" s="631">
        <f t="shared" si="86"/>
        <v>0</v>
      </c>
      <c r="E129" s="701"/>
      <c r="F129" s="633">
        <f t="shared" si="87"/>
        <v>0</v>
      </c>
      <c r="G129" s="709"/>
      <c r="H129" s="710"/>
      <c r="I129" s="711"/>
      <c r="J129" s="633">
        <f t="shared" si="88"/>
        <v>0</v>
      </c>
      <c r="K129" s="709"/>
      <c r="L129" s="710"/>
      <c r="M129" s="712"/>
      <c r="N129" s="713"/>
      <c r="O129" s="714"/>
      <c r="P129" s="715"/>
    </row>
    <row r="130" spans="2:16" s="1" customFormat="1" x14ac:dyDescent="0.25">
      <c r="B130" s="629" t="s">
        <v>670</v>
      </c>
      <c r="C130" s="630" t="s">
        <v>671</v>
      </c>
      <c r="D130" s="631">
        <f t="shared" si="86"/>
        <v>0</v>
      </c>
      <c r="E130" s="701"/>
      <c r="F130" s="633">
        <f t="shared" si="87"/>
        <v>0</v>
      </c>
      <c r="G130" s="709"/>
      <c r="H130" s="710"/>
      <c r="I130" s="711"/>
      <c r="J130" s="633">
        <f t="shared" si="88"/>
        <v>0</v>
      </c>
      <c r="K130" s="709"/>
      <c r="L130" s="710"/>
      <c r="M130" s="712"/>
      <c r="N130" s="713"/>
      <c r="O130" s="714"/>
      <c r="P130" s="715"/>
    </row>
    <row r="131" spans="2:16" s="1" customFormat="1" x14ac:dyDescent="0.25">
      <c r="B131" s="640" t="s">
        <v>672</v>
      </c>
      <c r="C131" s="630" t="s">
        <v>673</v>
      </c>
      <c r="D131" s="631">
        <f t="shared" si="86"/>
        <v>0</v>
      </c>
      <c r="E131" s="701"/>
      <c r="F131" s="633">
        <f t="shared" si="87"/>
        <v>0</v>
      </c>
      <c r="G131" s="709"/>
      <c r="H131" s="710"/>
      <c r="I131" s="711"/>
      <c r="J131" s="633">
        <f t="shared" si="88"/>
        <v>0</v>
      </c>
      <c r="K131" s="709"/>
      <c r="L131" s="710"/>
      <c r="M131" s="712"/>
      <c r="N131" s="713"/>
      <c r="O131" s="714"/>
      <c r="P131" s="715"/>
    </row>
    <row r="132" spans="2:16" s="1" customFormat="1" x14ac:dyDescent="0.25">
      <c r="B132" s="640" t="s">
        <v>674</v>
      </c>
      <c r="C132" s="641" t="s">
        <v>675</v>
      </c>
      <c r="D132" s="642">
        <f t="shared" si="86"/>
        <v>0</v>
      </c>
      <c r="E132" s="716"/>
      <c r="F132" s="644">
        <f t="shared" si="87"/>
        <v>0</v>
      </c>
      <c r="G132" s="717"/>
      <c r="H132" s="718"/>
      <c r="I132" s="719"/>
      <c r="J132" s="644">
        <f t="shared" si="88"/>
        <v>0</v>
      </c>
      <c r="K132" s="717"/>
      <c r="L132" s="718"/>
      <c r="M132" s="720"/>
      <c r="N132" s="721"/>
      <c r="O132" s="722"/>
      <c r="P132" s="723"/>
    </row>
    <row r="133" spans="2:16" s="1" customFormat="1" ht="15.75" thickBot="1" x14ac:dyDescent="0.3">
      <c r="B133" s="724" t="s">
        <v>676</v>
      </c>
      <c r="C133" s="725" t="s">
        <v>677</v>
      </c>
      <c r="D133" s="726">
        <f t="shared" si="86"/>
        <v>0</v>
      </c>
      <c r="E133" s="727"/>
      <c r="F133" s="728">
        <f t="shared" si="87"/>
        <v>0</v>
      </c>
      <c r="G133" s="729"/>
      <c r="H133" s="730"/>
      <c r="I133" s="731"/>
      <c r="J133" s="728">
        <f t="shared" si="88"/>
        <v>0</v>
      </c>
      <c r="K133" s="729"/>
      <c r="L133" s="730"/>
      <c r="M133" s="732"/>
      <c r="N133" s="733"/>
      <c r="O133" s="734"/>
      <c r="P133" s="735"/>
    </row>
    <row r="134" spans="2:16" s="1" customFormat="1" ht="26.25" thickBot="1" x14ac:dyDescent="0.3">
      <c r="B134" s="736" t="s">
        <v>81</v>
      </c>
      <c r="C134" s="737" t="s">
        <v>678</v>
      </c>
      <c r="D134" s="738">
        <f t="shared" si="86"/>
        <v>100</v>
      </c>
      <c r="E134" s="739">
        <f>IFERROR(E96/$D$96*100, 0)</f>
        <v>0</v>
      </c>
      <c r="F134" s="740">
        <f t="shared" si="87"/>
        <v>43.35</v>
      </c>
      <c r="G134" s="741">
        <f>IFERROR(G96/$D$96*100, 0)</f>
        <v>3</v>
      </c>
      <c r="H134" s="742">
        <f>IFERROR(H96/$D$96*100, 0)</f>
        <v>9.9800000000000022</v>
      </c>
      <c r="I134" s="743">
        <f>IFERROR(I96/$D$96*100, 0)</f>
        <v>30.37</v>
      </c>
      <c r="J134" s="740">
        <f t="shared" si="88"/>
        <v>56.650000000000006</v>
      </c>
      <c r="K134" s="741">
        <f t="shared" ref="K134:P134" si="89">IFERROR(K96/$D$96*100, 0)</f>
        <v>55.490000000000009</v>
      </c>
      <c r="L134" s="742">
        <f t="shared" si="89"/>
        <v>0.96999999999999986</v>
      </c>
      <c r="M134" s="744">
        <f t="shared" si="89"/>
        <v>0.19000000000000003</v>
      </c>
      <c r="N134" s="740">
        <f t="shared" si="89"/>
        <v>0</v>
      </c>
      <c r="O134" s="745">
        <f t="shared" si="89"/>
        <v>0</v>
      </c>
      <c r="P134" s="740">
        <f t="shared" si="89"/>
        <v>0</v>
      </c>
    </row>
  </sheetData>
  <sheetProtection algorithmName="SHA-512" hashValue="MjRjoEKjr/yRPoYkS2uByh9th9O69ZUhY/BL5r3Ix6VcSmeGgDeeHoL0NEVh7bluaku/RzYRPyeVwTmP+zs+ag==" saltValue="rZLm2BqBO2GuSjGO7yF4sVn/8HcqJH7dut01uPrNcZshK5kavjVzsHrYt9cjhRzDKSnAznCOICPnuyr2KRvdqA=="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topLeftCell="A4" workbookViewId="0">
      <selection activeCell="D61" sqref="D61"/>
    </sheetView>
  </sheetViews>
  <sheetFormatPr defaultColWidth="9.140625" defaultRowHeight="15" x14ac:dyDescent="0.25"/>
  <cols>
    <col min="1" max="1" width="9.140625" style="746"/>
    <col min="2" max="2" width="10.42578125" style="747" customWidth="1"/>
    <col min="3" max="3" width="90.42578125" style="747" customWidth="1"/>
    <col min="4" max="4" width="20.28515625" style="747" customWidth="1"/>
    <col min="5" max="5" width="19.85546875" style="748" customWidth="1"/>
    <col min="6" max="6" width="43.140625" style="747" customWidth="1"/>
    <col min="7" max="7" width="11.7109375" style="746" customWidth="1"/>
    <col min="8" max="8" width="38.7109375" style="746" bestFit="1" customWidth="1"/>
    <col min="9" max="16384" width="9.140625" style="746"/>
  </cols>
  <sheetData>
    <row r="1" spans="1:8" s="1" customFormat="1" x14ac:dyDescent="0.25">
      <c r="A1" s="1416" t="s">
        <v>0</v>
      </c>
      <c r="B1" s="1417"/>
      <c r="C1" s="1417"/>
      <c r="D1" s="1417"/>
      <c r="E1" s="1417"/>
      <c r="F1" s="1418"/>
    </row>
    <row r="2" spans="1:8" s="1" customFormat="1" x14ac:dyDescent="0.25">
      <c r="A2" s="1416" t="s">
        <v>1</v>
      </c>
      <c r="B2" s="1417"/>
      <c r="C2" s="1417"/>
      <c r="D2" s="1417"/>
      <c r="E2" s="1417"/>
      <c r="F2" s="1418"/>
    </row>
    <row r="3" spans="1:8" s="1" customFormat="1" x14ac:dyDescent="0.25">
      <c r="A3" s="1419"/>
      <c r="B3" s="1420"/>
      <c r="C3" s="1420"/>
      <c r="D3" s="1420"/>
      <c r="E3" s="1420"/>
      <c r="F3" s="1421"/>
    </row>
    <row r="4" spans="1:8" s="1" customFormat="1" x14ac:dyDescent="0.25">
      <c r="A4" s="749"/>
      <c r="B4" s="750"/>
      <c r="C4" s="750"/>
      <c r="D4" s="750"/>
      <c r="E4" s="751"/>
      <c r="F4" s="750"/>
    </row>
    <row r="5" spans="1:8" s="1" customFormat="1" x14ac:dyDescent="0.25">
      <c r="A5" s="1422" t="s">
        <v>679</v>
      </c>
      <c r="B5" s="1423"/>
      <c r="C5" s="1423"/>
      <c r="D5" s="1423"/>
      <c r="E5" s="1423"/>
      <c r="F5" s="1424"/>
    </row>
    <row r="6" spans="1:8" s="1" customFormat="1" x14ac:dyDescent="0.25">
      <c r="A6" s="749"/>
      <c r="B6" s="750"/>
      <c r="C6" s="750"/>
      <c r="D6" s="750"/>
      <c r="E6" s="751"/>
      <c r="F6" s="750"/>
    </row>
    <row r="8" spans="1:8" s="1" customFormat="1" ht="15.75" thickBot="1" x14ac:dyDescent="0.3">
      <c r="B8" s="1415" t="s">
        <v>680</v>
      </c>
      <c r="C8" s="1415"/>
      <c r="D8" s="1415"/>
      <c r="E8" s="1415"/>
      <c r="F8" s="1415"/>
    </row>
    <row r="9" spans="1:8" s="1" customFormat="1" ht="33" customHeight="1" thickBot="1" x14ac:dyDescent="0.3">
      <c r="B9" s="752" t="s">
        <v>4</v>
      </c>
      <c r="C9" s="753" t="s">
        <v>681</v>
      </c>
      <c r="D9" s="754" t="s">
        <v>682</v>
      </c>
      <c r="E9" s="755" t="s">
        <v>49</v>
      </c>
      <c r="F9" s="756" t="s">
        <v>683</v>
      </c>
      <c r="G9" s="757"/>
    </row>
    <row r="10" spans="1:8" s="1" customFormat="1" ht="25.5" x14ac:dyDescent="0.25">
      <c r="B10" s="758" t="s">
        <v>684</v>
      </c>
      <c r="C10" s="759" t="s">
        <v>685</v>
      </c>
      <c r="D10" s="760" t="s">
        <v>686</v>
      </c>
      <c r="E10" s="761">
        <f>E11+E19</f>
        <v>771.00199999999995</v>
      </c>
      <c r="F10" s="762" t="s">
        <v>687</v>
      </c>
      <c r="G10" s="757"/>
      <c r="H10" s="763"/>
    </row>
    <row r="11" spans="1:8" s="1" customFormat="1" x14ac:dyDescent="0.25">
      <c r="B11" s="764" t="s">
        <v>98</v>
      </c>
      <c r="C11" s="765" t="s">
        <v>688</v>
      </c>
      <c r="D11" s="766" t="s">
        <v>686</v>
      </c>
      <c r="E11" s="767">
        <f>SUM(E12:E18)</f>
        <v>113.712</v>
      </c>
      <c r="F11" s="768" t="s">
        <v>687</v>
      </c>
      <c r="G11" s="757"/>
    </row>
    <row r="12" spans="1:8" s="1" customFormat="1" x14ac:dyDescent="0.25">
      <c r="B12" s="769" t="s">
        <v>689</v>
      </c>
      <c r="C12" s="770" t="s">
        <v>690</v>
      </c>
      <c r="D12" s="771" t="s">
        <v>686</v>
      </c>
      <c r="E12" s="772">
        <v>10.052</v>
      </c>
      <c r="F12" s="768" t="s">
        <v>687</v>
      </c>
      <c r="G12" s="757"/>
    </row>
    <row r="13" spans="1:8" s="1" customFormat="1" x14ac:dyDescent="0.25">
      <c r="B13" s="769" t="s">
        <v>691</v>
      </c>
      <c r="C13" s="770" t="s">
        <v>692</v>
      </c>
      <c r="D13" s="771" t="s">
        <v>686</v>
      </c>
      <c r="E13" s="772">
        <v>46.923000000000002</v>
      </c>
      <c r="F13" s="768" t="s">
        <v>687</v>
      </c>
      <c r="G13" s="757"/>
    </row>
    <row r="14" spans="1:8" s="1" customFormat="1" x14ac:dyDescent="0.25">
      <c r="B14" s="769" t="s">
        <v>693</v>
      </c>
      <c r="C14" s="770" t="s">
        <v>694</v>
      </c>
      <c r="D14" s="771" t="s">
        <v>686</v>
      </c>
      <c r="E14" s="772">
        <v>10.109</v>
      </c>
      <c r="F14" s="768" t="s">
        <v>687</v>
      </c>
      <c r="G14" s="757"/>
    </row>
    <row r="15" spans="1:8" s="1" customFormat="1" x14ac:dyDescent="0.25">
      <c r="B15" s="769" t="s">
        <v>695</v>
      </c>
      <c r="C15" s="770" t="s">
        <v>696</v>
      </c>
      <c r="D15" s="771" t="s">
        <v>686</v>
      </c>
      <c r="E15" s="772">
        <v>0.67900000000000005</v>
      </c>
      <c r="F15" s="768" t="s">
        <v>687</v>
      </c>
      <c r="G15" s="757"/>
    </row>
    <row r="16" spans="1:8" s="1" customFormat="1" x14ac:dyDescent="0.25">
      <c r="B16" s="769" t="s">
        <v>697</v>
      </c>
      <c r="C16" s="770" t="s">
        <v>698</v>
      </c>
      <c r="D16" s="771" t="s">
        <v>686</v>
      </c>
      <c r="E16" s="772">
        <v>40.488999999999997</v>
      </c>
      <c r="F16" s="768" t="s">
        <v>687</v>
      </c>
      <c r="G16" s="757"/>
    </row>
    <row r="17" spans="2:8" s="1" customFormat="1" x14ac:dyDescent="0.25">
      <c r="B17" s="769" t="s">
        <v>699</v>
      </c>
      <c r="C17" s="770" t="s">
        <v>700</v>
      </c>
      <c r="D17" s="771" t="s">
        <v>686</v>
      </c>
      <c r="E17" s="772">
        <v>5.46</v>
      </c>
      <c r="F17" s="768" t="s">
        <v>687</v>
      </c>
      <c r="G17" s="757"/>
    </row>
    <row r="18" spans="2:8" s="1" customFormat="1" ht="15.75" thickBot="1" x14ac:dyDescent="0.3">
      <c r="B18" s="769" t="s">
        <v>701</v>
      </c>
      <c r="C18" s="773" t="s">
        <v>702</v>
      </c>
      <c r="D18" s="771" t="s">
        <v>686</v>
      </c>
      <c r="E18" s="774"/>
      <c r="F18" s="775" t="s">
        <v>687</v>
      </c>
      <c r="G18" s="757"/>
    </row>
    <row r="19" spans="2:8" s="1" customFormat="1" ht="27" x14ac:dyDescent="0.25">
      <c r="B19" s="764" t="s">
        <v>100</v>
      </c>
      <c r="C19" s="776" t="s">
        <v>703</v>
      </c>
      <c r="D19" s="777" t="s">
        <v>686</v>
      </c>
      <c r="E19" s="762">
        <f>SUM(E20:E26)</f>
        <v>657.29</v>
      </c>
      <c r="F19" s="778" t="s">
        <v>687</v>
      </c>
      <c r="G19" s="757"/>
    </row>
    <row r="20" spans="2:8" s="1" customFormat="1" x14ac:dyDescent="0.25">
      <c r="B20" s="769" t="s">
        <v>704</v>
      </c>
      <c r="C20" s="770" t="s">
        <v>690</v>
      </c>
      <c r="D20" s="769" t="s">
        <v>686</v>
      </c>
      <c r="E20" s="779">
        <v>74.13</v>
      </c>
      <c r="F20" s="780" t="s">
        <v>687</v>
      </c>
      <c r="G20" s="757"/>
    </row>
    <row r="21" spans="2:8" s="1" customFormat="1" x14ac:dyDescent="0.25">
      <c r="B21" s="769" t="s">
        <v>705</v>
      </c>
      <c r="C21" s="770" t="s">
        <v>692</v>
      </c>
      <c r="D21" s="769" t="s">
        <v>686</v>
      </c>
      <c r="E21" s="779">
        <v>188.21299999999999</v>
      </c>
      <c r="F21" s="780" t="s">
        <v>687</v>
      </c>
      <c r="G21" s="757"/>
    </row>
    <row r="22" spans="2:8" s="1" customFormat="1" x14ac:dyDescent="0.25">
      <c r="B22" s="769" t="s">
        <v>706</v>
      </c>
      <c r="C22" s="770" t="s">
        <v>694</v>
      </c>
      <c r="D22" s="769" t="s">
        <v>686</v>
      </c>
      <c r="E22" s="779">
        <v>33.322000000000003</v>
      </c>
      <c r="F22" s="780" t="s">
        <v>687</v>
      </c>
      <c r="G22" s="757"/>
    </row>
    <row r="23" spans="2:8" s="1" customFormat="1" x14ac:dyDescent="0.25">
      <c r="B23" s="769" t="s">
        <v>707</v>
      </c>
      <c r="C23" s="770" t="s">
        <v>696</v>
      </c>
      <c r="D23" s="769" t="s">
        <v>686</v>
      </c>
      <c r="E23" s="779">
        <v>72.445999999999998</v>
      </c>
      <c r="F23" s="780" t="s">
        <v>687</v>
      </c>
      <c r="G23" s="757"/>
    </row>
    <row r="24" spans="2:8" s="1" customFormat="1" x14ac:dyDescent="0.25">
      <c r="B24" s="769" t="s">
        <v>708</v>
      </c>
      <c r="C24" s="770" t="s">
        <v>698</v>
      </c>
      <c r="D24" s="769" t="s">
        <v>686</v>
      </c>
      <c r="E24" s="779">
        <v>253.03299999999999</v>
      </c>
      <c r="F24" s="780" t="s">
        <v>687</v>
      </c>
      <c r="G24" s="757"/>
    </row>
    <row r="25" spans="2:8" s="1" customFormat="1" x14ac:dyDescent="0.25">
      <c r="B25" s="769" t="s">
        <v>709</v>
      </c>
      <c r="C25" s="770" t="s">
        <v>700</v>
      </c>
      <c r="D25" s="769" t="s">
        <v>686</v>
      </c>
      <c r="E25" s="779">
        <v>36.146000000000001</v>
      </c>
      <c r="F25" s="780" t="s">
        <v>687</v>
      </c>
      <c r="G25" s="757"/>
    </row>
    <row r="26" spans="2:8" s="1" customFormat="1" ht="15.75" thickBot="1" x14ac:dyDescent="0.3">
      <c r="B26" s="769" t="s">
        <v>710</v>
      </c>
      <c r="C26" s="773" t="s">
        <v>702</v>
      </c>
      <c r="D26" s="781" t="s">
        <v>686</v>
      </c>
      <c r="E26" s="782"/>
      <c r="F26" s="780" t="s">
        <v>687</v>
      </c>
      <c r="G26" s="757"/>
      <c r="H26" s="763"/>
    </row>
    <row r="27" spans="2:8" s="1" customFormat="1" ht="15.75" thickBot="1" x14ac:dyDescent="0.3">
      <c r="B27" s="783" t="s">
        <v>53</v>
      </c>
      <c r="C27" s="753" t="s">
        <v>711</v>
      </c>
      <c r="D27" s="783" t="s">
        <v>686</v>
      </c>
      <c r="E27" s="784">
        <f>E28+E32+E36+E37+E38</f>
        <v>808.63699999999994</v>
      </c>
      <c r="F27" s="785"/>
      <c r="G27" s="757"/>
    </row>
    <row r="28" spans="2:8" s="1" customFormat="1" x14ac:dyDescent="0.25">
      <c r="B28" s="758" t="s">
        <v>138</v>
      </c>
      <c r="C28" s="786" t="s">
        <v>712</v>
      </c>
      <c r="D28" s="758" t="s">
        <v>686</v>
      </c>
      <c r="E28" s="787">
        <f>E29+E30+E31</f>
        <v>362.74899999999997</v>
      </c>
      <c r="F28" s="778" t="s">
        <v>687</v>
      </c>
      <c r="G28" s="757"/>
    </row>
    <row r="29" spans="2:8" s="1" customFormat="1" x14ac:dyDescent="0.25">
      <c r="B29" s="764" t="s">
        <v>713</v>
      </c>
      <c r="C29" s="788" t="s">
        <v>690</v>
      </c>
      <c r="D29" s="764" t="s">
        <v>686</v>
      </c>
      <c r="E29" s="789">
        <f>E12+E20</f>
        <v>84.181999999999988</v>
      </c>
      <c r="F29" s="778" t="s">
        <v>687</v>
      </c>
      <c r="G29" s="757"/>
    </row>
    <row r="30" spans="2:8" s="1" customFormat="1" x14ac:dyDescent="0.25">
      <c r="B30" s="764" t="s">
        <v>714</v>
      </c>
      <c r="C30" s="788" t="s">
        <v>692</v>
      </c>
      <c r="D30" s="764" t="s">
        <v>686</v>
      </c>
      <c r="E30" s="789">
        <f>E13+E21</f>
        <v>235.136</v>
      </c>
      <c r="F30" s="778" t="s">
        <v>687</v>
      </c>
      <c r="G30" s="757"/>
    </row>
    <row r="31" spans="2:8" s="1" customFormat="1" ht="15.75" thickBot="1" x14ac:dyDescent="0.3">
      <c r="B31" s="790" t="s">
        <v>715</v>
      </c>
      <c r="C31" s="791" t="s">
        <v>694</v>
      </c>
      <c r="D31" s="790" t="s">
        <v>686</v>
      </c>
      <c r="E31" s="789">
        <f t="shared" ref="E31" si="0">E14+E22</f>
        <v>43.431000000000004</v>
      </c>
      <c r="F31" s="792" t="s">
        <v>687</v>
      </c>
    </row>
    <row r="32" spans="2:8" s="1" customFormat="1" ht="21" customHeight="1" x14ac:dyDescent="0.25">
      <c r="B32" s="758" t="s">
        <v>140</v>
      </c>
      <c r="C32" s="793" t="s">
        <v>716</v>
      </c>
      <c r="D32" s="758" t="s">
        <v>686</v>
      </c>
      <c r="E32" s="787">
        <f>E33+E34+E35</f>
        <v>408.25299999999999</v>
      </c>
      <c r="F32" s="794" t="s">
        <v>687</v>
      </c>
    </row>
    <row r="33" spans="2:6" s="1" customFormat="1" x14ac:dyDescent="0.25">
      <c r="B33" s="764" t="s">
        <v>717</v>
      </c>
      <c r="C33" s="788" t="s">
        <v>718</v>
      </c>
      <c r="D33" s="764" t="s">
        <v>686</v>
      </c>
      <c r="E33" s="795">
        <f>E15+E23</f>
        <v>73.125</v>
      </c>
      <c r="F33" s="780" t="s">
        <v>687</v>
      </c>
    </row>
    <row r="34" spans="2:6" s="1" customFormat="1" x14ac:dyDescent="0.25">
      <c r="B34" s="764" t="s">
        <v>719</v>
      </c>
      <c r="C34" s="788" t="s">
        <v>698</v>
      </c>
      <c r="D34" s="764" t="s">
        <v>686</v>
      </c>
      <c r="E34" s="795">
        <f t="shared" ref="E34" si="1">E16+E24</f>
        <v>293.52199999999999</v>
      </c>
      <c r="F34" s="780" t="s">
        <v>687</v>
      </c>
    </row>
    <row r="35" spans="2:6" s="1" customFormat="1" ht="15.75" thickBot="1" x14ac:dyDescent="0.3">
      <c r="B35" s="790" t="s">
        <v>720</v>
      </c>
      <c r="C35" s="791" t="s">
        <v>700</v>
      </c>
      <c r="D35" s="790" t="s">
        <v>686</v>
      </c>
      <c r="E35" s="795">
        <f>E17+E25</f>
        <v>41.606000000000002</v>
      </c>
      <c r="F35" s="780" t="s">
        <v>687</v>
      </c>
    </row>
    <row r="36" spans="2:6" s="1" customFormat="1" ht="15.75" thickBot="1" x14ac:dyDescent="0.3">
      <c r="B36" s="752" t="s">
        <v>607</v>
      </c>
      <c r="C36" s="796" t="s">
        <v>721</v>
      </c>
      <c r="D36" s="752" t="s">
        <v>686</v>
      </c>
      <c r="E36" s="797">
        <f>E18+E26</f>
        <v>0</v>
      </c>
      <c r="F36" s="798" t="s">
        <v>687</v>
      </c>
    </row>
    <row r="37" spans="2:6" s="1" customFormat="1" ht="15.75" thickBot="1" x14ac:dyDescent="0.3">
      <c r="B37" s="783" t="s">
        <v>722</v>
      </c>
      <c r="C37" s="759" t="s">
        <v>723</v>
      </c>
      <c r="D37" s="783" t="s">
        <v>686</v>
      </c>
      <c r="E37" s="799">
        <v>6.5140000000000002</v>
      </c>
      <c r="F37" s="798" t="s">
        <v>687</v>
      </c>
    </row>
    <row r="38" spans="2:6" s="1" customFormat="1" ht="15.75" thickBot="1" x14ac:dyDescent="0.3">
      <c r="B38" s="752" t="s">
        <v>724</v>
      </c>
      <c r="C38" s="800" t="s">
        <v>725</v>
      </c>
      <c r="D38" s="752" t="s">
        <v>686</v>
      </c>
      <c r="E38" s="801">
        <v>31.120999999999999</v>
      </c>
      <c r="F38" s="798" t="s">
        <v>726</v>
      </c>
    </row>
    <row r="39" spans="2:6" s="1" customFormat="1" ht="15.75" thickBot="1" x14ac:dyDescent="0.3">
      <c r="B39" s="802" t="s">
        <v>59</v>
      </c>
      <c r="C39" s="803" t="s">
        <v>727</v>
      </c>
      <c r="D39" s="802" t="s">
        <v>686</v>
      </c>
      <c r="E39" s="804"/>
      <c r="F39" s="805"/>
    </row>
    <row r="40" spans="2:6" s="1" customFormat="1" ht="15.75" thickBot="1" x14ac:dyDescent="0.3">
      <c r="B40" s="802" t="s">
        <v>63</v>
      </c>
      <c r="C40" s="803" t="s">
        <v>728</v>
      </c>
      <c r="D40" s="802" t="s">
        <v>686</v>
      </c>
      <c r="E40" s="804"/>
      <c r="F40" s="806"/>
    </row>
    <row r="41" spans="2:6" s="1" customFormat="1" ht="15.75" thickBot="1" x14ac:dyDescent="0.3">
      <c r="B41" s="802" t="s">
        <v>77</v>
      </c>
      <c r="C41" s="803" t="s">
        <v>729</v>
      </c>
      <c r="D41" s="802" t="s">
        <v>686</v>
      </c>
      <c r="E41" s="807">
        <f>E27+E39-E40</f>
        <v>808.63699999999994</v>
      </c>
      <c r="F41" s="806"/>
    </row>
    <row r="42" spans="2:6" s="1" customFormat="1" ht="15.75" thickBot="1" x14ac:dyDescent="0.3">
      <c r="B42" s="802" t="s">
        <v>79</v>
      </c>
      <c r="C42" s="808" t="s">
        <v>730</v>
      </c>
      <c r="D42" s="796"/>
      <c r="E42" s="809"/>
      <c r="F42" s="810"/>
    </row>
    <row r="43" spans="2:6" s="5" customFormat="1" x14ac:dyDescent="0.25">
      <c r="B43" s="758" t="s">
        <v>731</v>
      </c>
      <c r="C43" s="786" t="s">
        <v>732</v>
      </c>
      <c r="D43" s="758" t="s">
        <v>733</v>
      </c>
      <c r="E43" s="811">
        <f>IF((E44+E45)=0,"0",(((E20+E22)*100)/E46)/(E44+E45+E48))</f>
        <v>0.26050801147232172</v>
      </c>
      <c r="F43" s="762"/>
    </row>
    <row r="44" spans="2:6" s="1" customFormat="1" x14ac:dyDescent="0.25">
      <c r="B44" s="764" t="s">
        <v>734</v>
      </c>
      <c r="C44" s="788" t="s">
        <v>735</v>
      </c>
      <c r="D44" s="812" t="s">
        <v>736</v>
      </c>
      <c r="E44" s="789">
        <f>VAS078_F_Vidutinissvert1AtaskaitinisLaikotarpis</f>
        <v>13.3</v>
      </c>
      <c r="F44" s="789" t="s">
        <v>737</v>
      </c>
    </row>
    <row r="45" spans="2:6" s="1" customFormat="1" x14ac:dyDescent="0.25">
      <c r="B45" s="790" t="s">
        <v>738</v>
      </c>
      <c r="C45" s="791" t="s">
        <v>739</v>
      </c>
      <c r="D45" s="813" t="s">
        <v>736</v>
      </c>
      <c r="E45" s="814">
        <f>VAS078_F_Vidutinissvert3AtaskaitinisLaikotarpis</f>
        <v>28.2</v>
      </c>
      <c r="F45" s="814" t="s">
        <v>737</v>
      </c>
    </row>
    <row r="46" spans="2:6" s="1" customFormat="1" ht="15.75" thickBot="1" x14ac:dyDescent="0.3">
      <c r="B46" s="764" t="s">
        <v>740</v>
      </c>
      <c r="C46" s="788" t="s">
        <v>741</v>
      </c>
      <c r="D46" s="764" t="s">
        <v>742</v>
      </c>
      <c r="E46" s="789">
        <f>VAS077_F_Patiektogeriam1AtaskaitinisLaikotarpis</f>
        <v>255.4</v>
      </c>
      <c r="F46" s="789" t="s">
        <v>743</v>
      </c>
    </row>
    <row r="47" spans="2:6" s="5" customFormat="1" x14ac:dyDescent="0.25">
      <c r="B47" s="758" t="s">
        <v>744</v>
      </c>
      <c r="C47" s="786" t="s">
        <v>745</v>
      </c>
      <c r="D47" s="758" t="s">
        <v>746</v>
      </c>
      <c r="E47" s="811">
        <f>IF(E48=0,"0",E21/E49)</f>
        <v>0.64544924554183802</v>
      </c>
      <c r="F47" s="762"/>
    </row>
    <row r="48" spans="2:6" s="1" customFormat="1" x14ac:dyDescent="0.25">
      <c r="B48" s="764" t="s">
        <v>747</v>
      </c>
      <c r="C48" s="788" t="s">
        <v>748</v>
      </c>
      <c r="D48" s="812" t="s">
        <v>736</v>
      </c>
      <c r="E48" s="789">
        <f>VAS078_F_Vidutinissvert2AtaskaitinisLaikotarpis</f>
        <v>120</v>
      </c>
      <c r="F48" s="789" t="s">
        <v>737</v>
      </c>
    </row>
    <row r="49" spans="2:6" s="1" customFormat="1" ht="15.75" thickBot="1" x14ac:dyDescent="0.3">
      <c r="B49" s="764" t="s">
        <v>749</v>
      </c>
      <c r="C49" s="788" t="s">
        <v>750</v>
      </c>
      <c r="D49" s="764" t="s">
        <v>742</v>
      </c>
      <c r="E49" s="789">
        <f>VAS077_F_Paruostogeriam1AtaskaitinisLaikotarpis</f>
        <v>291.60000000000002</v>
      </c>
      <c r="F49" s="789" t="s">
        <v>743</v>
      </c>
    </row>
    <row r="50" spans="2:6" s="5" customFormat="1" x14ac:dyDescent="0.25">
      <c r="B50" s="758" t="s">
        <v>751</v>
      </c>
      <c r="C50" s="786" t="s">
        <v>752</v>
      </c>
      <c r="D50" s="758" t="s">
        <v>733</v>
      </c>
      <c r="E50" s="811">
        <f>IF(E51=0,"0",((E23*100)/E53)/E51)</f>
        <v>1.1625958853548159</v>
      </c>
      <c r="F50" s="762"/>
    </row>
    <row r="51" spans="2:6" s="1" customFormat="1" x14ac:dyDescent="0.25">
      <c r="B51" s="764" t="s">
        <v>753</v>
      </c>
      <c r="C51" s="788" t="s">
        <v>754</v>
      </c>
      <c r="D51" s="812" t="s">
        <v>736</v>
      </c>
      <c r="E51" s="789">
        <f>VAS078_F_Vidutinissvert4AtaskaitinisLaikotarpis</f>
        <v>14</v>
      </c>
      <c r="F51" s="789" t="s">
        <v>737</v>
      </c>
    </row>
    <row r="52" spans="2:6" s="1" customFormat="1" x14ac:dyDescent="0.25">
      <c r="B52" s="764" t="s">
        <v>755</v>
      </c>
      <c r="C52" s="788" t="s">
        <v>756</v>
      </c>
      <c r="D52" s="764" t="s">
        <v>742</v>
      </c>
      <c r="E52" s="789">
        <f>VAS077_F_Surinktabuitin1AtaskaitinisLaikotarpis</f>
        <v>445.1</v>
      </c>
      <c r="F52" s="789" t="s">
        <v>743</v>
      </c>
    </row>
    <row r="53" spans="2:6" s="5" customFormat="1" ht="15.75" thickBot="1" x14ac:dyDescent="0.3">
      <c r="B53" s="764" t="s">
        <v>757</v>
      </c>
      <c r="C53" s="788" t="s">
        <v>758</v>
      </c>
      <c r="D53" s="764" t="s">
        <v>742</v>
      </c>
      <c r="E53" s="789">
        <f>VAS077_F_Perpumpuotasbu1AtaskaitinisLaikotarpis</f>
        <v>445.1</v>
      </c>
      <c r="F53" s="789" t="s">
        <v>743</v>
      </c>
    </row>
    <row r="54" spans="2:6" s="5" customFormat="1" x14ac:dyDescent="0.25">
      <c r="B54" s="758" t="s">
        <v>759</v>
      </c>
      <c r="C54" s="786" t="s">
        <v>760</v>
      </c>
      <c r="D54" s="758" t="s">
        <v>761</v>
      </c>
      <c r="E54" s="811">
        <f>IF(E55=0,"0",((E24*1000)/E55))</f>
        <v>3154.7487987959153</v>
      </c>
      <c r="F54" s="762"/>
    </row>
    <row r="55" spans="2:6" s="1" customFormat="1" ht="15.75" thickBot="1" x14ac:dyDescent="0.3">
      <c r="B55" s="764" t="s">
        <v>762</v>
      </c>
      <c r="C55" s="788" t="s">
        <v>763</v>
      </c>
      <c r="D55" s="812" t="s">
        <v>764</v>
      </c>
      <c r="E55" s="789">
        <f>VAS078_F_Pagalbiochemin3AtaskaitinisLaikotarpis</f>
        <v>80.207020000000014</v>
      </c>
      <c r="F55" s="789" t="s">
        <v>737</v>
      </c>
    </row>
    <row r="56" spans="2:6" s="1" customFormat="1" x14ac:dyDescent="0.25">
      <c r="B56" s="758" t="s">
        <v>765</v>
      </c>
      <c r="C56" s="786" t="s">
        <v>766</v>
      </c>
      <c r="D56" s="758" t="s">
        <v>767</v>
      </c>
      <c r="E56" s="762">
        <f>IFERROR(E57/(E27-E40), 0)</f>
        <v>9.1468260789451888E-2</v>
      </c>
      <c r="F56" s="762"/>
    </row>
    <row r="57" spans="2:6" s="1" customFormat="1" ht="15.75" thickBot="1" x14ac:dyDescent="0.3">
      <c r="B57" s="815" t="s">
        <v>768</v>
      </c>
      <c r="C57" s="816" t="s">
        <v>769</v>
      </c>
      <c r="D57" s="817" t="s">
        <v>770</v>
      </c>
      <c r="E57" s="818">
        <f>VAS073_F_Elektrosenergi12ApskaitosVeikla+VAS073_F_Elektrosenergi13IsViso+VAS073_F_Elektrosenergi14IsViso+VAS073_F_Elektrosenergi15PavirsiniuNuoteku</f>
        <v>73.964619999999996</v>
      </c>
      <c r="F57" s="818" t="s">
        <v>148</v>
      </c>
    </row>
    <row r="59" spans="2:6" s="1" customFormat="1" x14ac:dyDescent="0.25">
      <c r="C59" s="819" t="s">
        <v>771</v>
      </c>
      <c r="E59" s="820"/>
    </row>
    <row r="60" spans="2:6" s="1" customFormat="1" x14ac:dyDescent="0.25">
      <c r="E60" s="820"/>
    </row>
    <row r="61" spans="2:6" s="1" customFormat="1" x14ac:dyDescent="0.25">
      <c r="E61" s="820"/>
    </row>
    <row r="62" spans="2:6" s="1" customFormat="1" x14ac:dyDescent="0.25">
      <c r="E62" s="820"/>
    </row>
  </sheetData>
  <sheetProtection algorithmName="SHA-512" hashValue="qRMDNhn/3kzfZAjrmknrCaVgOKg42GkqJhYvBbU2HO7chlV57qTvAXaIo2P2p21BfQD8FPS9qBuT+x9972axvw==" saltValue="TjBJkAJFfVBmJg4NuTrRHr7txsNh8suUHUSAJF0oRF0gduq9ioKo6EepW1e5QnE/X5GYmHGaXodIfeUnM/vUpg=="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opLeftCell="A4" workbookViewId="0">
      <selection activeCell="C26" sqref="C26"/>
    </sheetView>
  </sheetViews>
  <sheetFormatPr defaultColWidth="9.140625" defaultRowHeight="15" x14ac:dyDescent="0.25"/>
  <cols>
    <col min="1" max="1" width="9.140625" style="422"/>
    <col min="2" max="2" width="6.7109375" style="422" customWidth="1"/>
    <col min="3" max="3" width="88.5703125" style="422" customWidth="1"/>
    <col min="4" max="4" width="17.28515625" style="422" customWidth="1"/>
    <col min="5" max="5" width="24" style="422" customWidth="1"/>
    <col min="6" max="6" width="29.140625" style="422" customWidth="1"/>
    <col min="7" max="7" width="23.140625" style="422" customWidth="1"/>
    <col min="8" max="16384" width="9.140625" style="422"/>
  </cols>
  <sheetData>
    <row r="1" spans="1:11" s="1" customFormat="1" x14ac:dyDescent="0.25">
      <c r="A1" s="1426" t="s">
        <v>0</v>
      </c>
      <c r="B1" s="1427"/>
      <c r="C1" s="1427"/>
      <c r="D1" s="1427"/>
      <c r="E1" s="1427"/>
      <c r="F1" s="1428"/>
    </row>
    <row r="2" spans="1:11" s="1" customFormat="1" x14ac:dyDescent="0.25">
      <c r="A2" s="1426" t="s">
        <v>1</v>
      </c>
      <c r="B2" s="1427"/>
      <c r="C2" s="1427"/>
      <c r="D2" s="1427"/>
      <c r="E2" s="1427"/>
      <c r="F2" s="1428"/>
    </row>
    <row r="3" spans="1:11" s="1" customFormat="1" x14ac:dyDescent="0.25">
      <c r="A3" s="1429"/>
      <c r="B3" s="1430"/>
      <c r="C3" s="1430"/>
      <c r="D3" s="1430"/>
      <c r="E3" s="1430"/>
      <c r="F3" s="1431"/>
    </row>
    <row r="4" spans="1:11" s="1" customFormat="1" x14ac:dyDescent="0.25">
      <c r="A4" s="821"/>
      <c r="B4" s="821"/>
      <c r="C4" s="821"/>
      <c r="D4" s="821"/>
      <c r="E4" s="821"/>
      <c r="F4" s="821"/>
    </row>
    <row r="5" spans="1:11" s="1" customFormat="1" x14ac:dyDescent="0.25">
      <c r="A5" s="1432" t="s">
        <v>772</v>
      </c>
      <c r="B5" s="1433"/>
      <c r="C5" s="1433"/>
      <c r="D5" s="1433"/>
      <c r="E5" s="1433"/>
      <c r="F5" s="1434"/>
    </row>
    <row r="6" spans="1:11" s="1" customFormat="1" x14ac:dyDescent="0.25">
      <c r="A6" s="821"/>
      <c r="B6" s="821"/>
      <c r="C6" s="821"/>
      <c r="D6" s="821"/>
      <c r="E6" s="821"/>
      <c r="F6" s="821"/>
    </row>
    <row r="8" spans="1:11" s="1" customFormat="1" ht="15.75" thickBot="1" x14ac:dyDescent="0.3">
      <c r="B8" s="1425" t="s">
        <v>773</v>
      </c>
      <c r="C8" s="1425"/>
      <c r="D8" s="1425"/>
      <c r="E8" s="1425"/>
      <c r="F8" s="1425"/>
    </row>
    <row r="9" spans="1:11" s="1" customFormat="1" ht="21" customHeight="1" thickBot="1" x14ac:dyDescent="0.3">
      <c r="B9" s="822" t="s">
        <v>4</v>
      </c>
      <c r="C9" s="822" t="s">
        <v>681</v>
      </c>
      <c r="D9" s="823" t="s">
        <v>682</v>
      </c>
      <c r="E9" s="824" t="s">
        <v>49</v>
      </c>
      <c r="F9" s="824" t="s">
        <v>683</v>
      </c>
      <c r="G9" s="825"/>
    </row>
    <row r="10" spans="1:11" s="1" customFormat="1" ht="15.75" thickBot="1" x14ac:dyDescent="0.3">
      <c r="B10" s="822" t="s">
        <v>684</v>
      </c>
      <c r="C10" s="822" t="s">
        <v>774</v>
      </c>
      <c r="D10" s="822" t="s">
        <v>775</v>
      </c>
      <c r="E10" s="826">
        <f>E11+E25</f>
        <v>32</v>
      </c>
      <c r="F10" s="824"/>
      <c r="G10" s="825"/>
    </row>
    <row r="11" spans="1:11" s="1" customFormat="1" ht="15.75" thickBot="1" x14ac:dyDescent="0.3">
      <c r="B11" s="827" t="s">
        <v>776</v>
      </c>
      <c r="C11" s="827" t="s">
        <v>777</v>
      </c>
      <c r="D11" s="827" t="s">
        <v>775</v>
      </c>
      <c r="E11" s="828">
        <f>E13+E17+E21+E22+E23+E24</f>
        <v>32</v>
      </c>
      <c r="F11" s="829"/>
      <c r="G11" s="830"/>
    </row>
    <row r="12" spans="1:11" s="1" customFormat="1" ht="15.75" thickBot="1" x14ac:dyDescent="0.3">
      <c r="B12" s="831" t="s">
        <v>778</v>
      </c>
      <c r="C12" s="831" t="s">
        <v>779</v>
      </c>
      <c r="D12" s="831" t="s">
        <v>775</v>
      </c>
      <c r="E12" s="832">
        <f>E13+E17+E22+E21</f>
        <v>20.75</v>
      </c>
      <c r="F12" s="833"/>
      <c r="G12" s="825"/>
    </row>
    <row r="13" spans="1:11" s="1" customFormat="1" ht="18.75" customHeight="1" x14ac:dyDescent="0.25">
      <c r="B13" s="834" t="s">
        <v>138</v>
      </c>
      <c r="C13" s="834" t="s">
        <v>712</v>
      </c>
      <c r="D13" s="835" t="s">
        <v>775</v>
      </c>
      <c r="E13" s="836">
        <f>SUM(E14:E16)</f>
        <v>9.0500000000000007</v>
      </c>
      <c r="F13" s="837"/>
      <c r="G13" s="825"/>
    </row>
    <row r="14" spans="1:11" s="1" customFormat="1" x14ac:dyDescent="0.25">
      <c r="B14" s="838" t="s">
        <v>713</v>
      </c>
      <c r="C14" s="839" t="s">
        <v>690</v>
      </c>
      <c r="D14" s="838" t="s">
        <v>775</v>
      </c>
      <c r="E14" s="840">
        <v>0.9</v>
      </c>
      <c r="F14" s="841"/>
      <c r="G14" s="825"/>
    </row>
    <row r="15" spans="1:11" s="1" customFormat="1" x14ac:dyDescent="0.25">
      <c r="B15" s="838" t="s">
        <v>714</v>
      </c>
      <c r="C15" s="839" t="s">
        <v>692</v>
      </c>
      <c r="D15" s="838" t="s">
        <v>775</v>
      </c>
      <c r="E15" s="840">
        <v>5.55</v>
      </c>
      <c r="F15" s="841"/>
      <c r="G15" s="825"/>
      <c r="K15" s="842"/>
    </row>
    <row r="16" spans="1:11" s="1" customFormat="1" ht="15.75" thickBot="1" x14ac:dyDescent="0.3">
      <c r="B16" s="843" t="s">
        <v>715</v>
      </c>
      <c r="C16" s="844" t="s">
        <v>694</v>
      </c>
      <c r="D16" s="843" t="s">
        <v>775</v>
      </c>
      <c r="E16" s="845">
        <v>2.6</v>
      </c>
      <c r="F16" s="846"/>
    </row>
    <row r="17" spans="2:6" s="1" customFormat="1" ht="23.25" customHeight="1" x14ac:dyDescent="0.25">
      <c r="B17" s="847" t="s">
        <v>140</v>
      </c>
      <c r="C17" s="847" t="s">
        <v>716</v>
      </c>
      <c r="D17" s="848" t="s">
        <v>775</v>
      </c>
      <c r="E17" s="849">
        <f>SUM(E18:E20)</f>
        <v>8.8000000000000007</v>
      </c>
      <c r="F17" s="850"/>
    </row>
    <row r="18" spans="2:6" s="1" customFormat="1" x14ac:dyDescent="0.25">
      <c r="B18" s="838" t="s">
        <v>717</v>
      </c>
      <c r="C18" s="839" t="s">
        <v>718</v>
      </c>
      <c r="D18" s="838" t="s">
        <v>775</v>
      </c>
      <c r="E18" s="840">
        <v>2.25</v>
      </c>
      <c r="F18" s="841"/>
    </row>
    <row r="19" spans="2:6" s="1" customFormat="1" x14ac:dyDescent="0.25">
      <c r="B19" s="838" t="s">
        <v>719</v>
      </c>
      <c r="C19" s="839" t="s">
        <v>698</v>
      </c>
      <c r="D19" s="838" t="s">
        <v>775</v>
      </c>
      <c r="E19" s="840">
        <v>4.8</v>
      </c>
      <c r="F19" s="841"/>
    </row>
    <row r="20" spans="2:6" s="1" customFormat="1" ht="15.75" thickBot="1" x14ac:dyDescent="0.3">
      <c r="B20" s="838" t="s">
        <v>720</v>
      </c>
      <c r="C20" s="839" t="s">
        <v>700</v>
      </c>
      <c r="D20" s="838" t="s">
        <v>775</v>
      </c>
      <c r="E20" s="840">
        <v>1.75</v>
      </c>
      <c r="F20" s="841"/>
    </row>
    <row r="21" spans="2:6" s="1" customFormat="1" ht="15.75" thickBot="1" x14ac:dyDescent="0.3">
      <c r="B21" s="851" t="s">
        <v>607</v>
      </c>
      <c r="C21" s="851" t="s">
        <v>721</v>
      </c>
      <c r="D21" s="852" t="s">
        <v>775</v>
      </c>
      <c r="E21" s="853"/>
      <c r="F21" s="824"/>
    </row>
    <row r="22" spans="2:6" s="1" customFormat="1" ht="15.75" thickBot="1" x14ac:dyDescent="0.3">
      <c r="B22" s="851" t="s">
        <v>722</v>
      </c>
      <c r="C22" s="854" t="s">
        <v>723</v>
      </c>
      <c r="D22" s="851" t="s">
        <v>775</v>
      </c>
      <c r="E22" s="853">
        <v>2.9</v>
      </c>
      <c r="F22" s="824"/>
    </row>
    <row r="23" spans="2:6" s="1" customFormat="1" ht="15.75" thickBot="1" x14ac:dyDescent="0.3">
      <c r="B23" s="822" t="s">
        <v>780</v>
      </c>
      <c r="C23" s="822" t="s">
        <v>781</v>
      </c>
      <c r="D23" s="822" t="s">
        <v>775</v>
      </c>
      <c r="E23" s="853">
        <v>4.25</v>
      </c>
      <c r="F23" s="824"/>
    </row>
    <row r="24" spans="2:6" s="1" customFormat="1" ht="15.75" thickBot="1" x14ac:dyDescent="0.3">
      <c r="B24" s="822" t="s">
        <v>302</v>
      </c>
      <c r="C24" s="855" t="s">
        <v>782</v>
      </c>
      <c r="D24" s="822" t="s">
        <v>775</v>
      </c>
      <c r="E24" s="853">
        <v>7</v>
      </c>
      <c r="F24" s="824"/>
    </row>
    <row r="25" spans="2:6" s="1" customFormat="1" ht="15.75" thickBot="1" x14ac:dyDescent="0.3">
      <c r="B25" s="831" t="s">
        <v>783</v>
      </c>
      <c r="C25" s="831" t="s">
        <v>784</v>
      </c>
      <c r="D25" s="831" t="s">
        <v>775</v>
      </c>
      <c r="E25" s="856"/>
      <c r="F25" s="833"/>
    </row>
    <row r="26" spans="2:6" s="1" customFormat="1" ht="17.25" customHeight="1" thickBot="1" x14ac:dyDescent="0.3">
      <c r="B26" s="822" t="s">
        <v>785</v>
      </c>
      <c r="C26" s="857" t="s">
        <v>786</v>
      </c>
      <c r="D26" s="857"/>
      <c r="E26" s="858"/>
      <c r="F26" s="859"/>
    </row>
    <row r="27" spans="2:6" s="1" customFormat="1" x14ac:dyDescent="0.25">
      <c r="B27" s="860" t="s">
        <v>787</v>
      </c>
      <c r="C27" s="860" t="s">
        <v>788</v>
      </c>
      <c r="D27" s="860" t="s">
        <v>789</v>
      </c>
      <c r="E27" s="861">
        <f>IFERROR(E28/E13/12*1000, 0)</f>
        <v>1075.7902394106814</v>
      </c>
      <c r="F27" s="862"/>
    </row>
    <row r="28" spans="2:6" s="1" customFormat="1" ht="15.75" thickBot="1" x14ac:dyDescent="0.3">
      <c r="B28" s="863" t="s">
        <v>790</v>
      </c>
      <c r="C28" s="864" t="s">
        <v>791</v>
      </c>
      <c r="D28" s="863" t="s">
        <v>770</v>
      </c>
      <c r="E28" s="865">
        <f>VAS073_F_Darbouzmokesci23IsViso</f>
        <v>116.83082</v>
      </c>
      <c r="F28" s="866" t="s">
        <v>148</v>
      </c>
    </row>
    <row r="29" spans="2:6" s="1" customFormat="1" x14ac:dyDescent="0.25">
      <c r="B29" s="847" t="s">
        <v>69</v>
      </c>
      <c r="C29" s="835" t="s">
        <v>792</v>
      </c>
      <c r="D29" s="835" t="s">
        <v>789</v>
      </c>
      <c r="E29" s="867">
        <f>IFERROR(E30/E17/12*1000, 0)</f>
        <v>1075.548768939394</v>
      </c>
      <c r="F29" s="868"/>
    </row>
    <row r="30" spans="2:6" s="1" customFormat="1" ht="15.75" thickBot="1" x14ac:dyDescent="0.3">
      <c r="B30" s="869" t="s">
        <v>580</v>
      </c>
      <c r="C30" s="864" t="s">
        <v>793</v>
      </c>
      <c r="D30" s="863" t="s">
        <v>770</v>
      </c>
      <c r="E30" s="870">
        <f>VAS073_F_Darbouzmokesci24IsViso</f>
        <v>113.57795</v>
      </c>
      <c r="F30" s="866" t="s">
        <v>148</v>
      </c>
    </row>
    <row r="31" spans="2:6" s="1" customFormat="1" x14ac:dyDescent="0.25">
      <c r="B31" s="831" t="s">
        <v>71</v>
      </c>
      <c r="C31" s="871" t="s">
        <v>794</v>
      </c>
      <c r="D31" s="835" t="s">
        <v>789</v>
      </c>
      <c r="E31" s="872">
        <f>IFERROR(E32/E21/12*1000, 0)</f>
        <v>0</v>
      </c>
      <c r="F31" s="868"/>
    </row>
    <row r="32" spans="2:6" s="1" customFormat="1" ht="15.75" thickBot="1" x14ac:dyDescent="0.3">
      <c r="B32" s="869" t="s">
        <v>795</v>
      </c>
      <c r="C32" s="864" t="s">
        <v>796</v>
      </c>
      <c r="D32" s="863" t="s">
        <v>770</v>
      </c>
      <c r="E32" s="870">
        <f>VAS073_F_Darbouzmokesci25PavirsiniuNuoteku</f>
        <v>0</v>
      </c>
      <c r="F32" s="866" t="s">
        <v>148</v>
      </c>
    </row>
    <row r="33" spans="2:6" s="1" customFormat="1" x14ac:dyDescent="0.25">
      <c r="B33" s="835" t="s">
        <v>73</v>
      </c>
      <c r="C33" s="873" t="s">
        <v>797</v>
      </c>
      <c r="D33" s="831" t="s">
        <v>789</v>
      </c>
      <c r="E33" s="874">
        <f>IFERROR(E34/E22/12*1000, 0)</f>
        <v>704.93534482758628</v>
      </c>
      <c r="F33" s="875"/>
    </row>
    <row r="34" spans="2:6" s="1" customFormat="1" ht="15.75" thickBot="1" x14ac:dyDescent="0.3">
      <c r="B34" s="869" t="s">
        <v>798</v>
      </c>
      <c r="C34" s="864" t="s">
        <v>799</v>
      </c>
      <c r="D34" s="863" t="s">
        <v>770</v>
      </c>
      <c r="E34" s="870">
        <f>VAS073_F_Darbouzmokesci22ApskaitosVeikla</f>
        <v>24.531749999999999</v>
      </c>
      <c r="F34" s="866" t="s">
        <v>148</v>
      </c>
    </row>
    <row r="35" spans="2:6" s="1" customFormat="1" x14ac:dyDescent="0.25">
      <c r="B35" s="835" t="s">
        <v>75</v>
      </c>
      <c r="C35" s="848" t="s">
        <v>800</v>
      </c>
      <c r="D35" s="835" t="s">
        <v>789</v>
      </c>
      <c r="E35" s="876">
        <f>IFERROR(E36/E23/12*1000, 0)</f>
        <v>1101.0592156862747</v>
      </c>
      <c r="F35" s="868"/>
    </row>
    <row r="36" spans="2:6" s="1" customFormat="1" ht="15.75" thickBot="1" x14ac:dyDescent="0.3">
      <c r="B36" s="869" t="s">
        <v>801</v>
      </c>
      <c r="C36" s="864" t="s">
        <v>802</v>
      </c>
      <c r="D36" s="863" t="s">
        <v>770</v>
      </c>
      <c r="E36" s="870">
        <f>VAS073_F_Darbouzmokesci32ApskaitosVeikla+VAS073_F_Darbouzmokesci33IsViso+VAS073_F_Darbouzmokesci34IsViso+VAS073_F_Darbouzmokesci35PavirsiniuNuoteku</f>
        <v>56.154020000000003</v>
      </c>
      <c r="F36" s="866" t="s">
        <v>148</v>
      </c>
    </row>
    <row r="37" spans="2:6" s="1" customFormat="1" x14ac:dyDescent="0.25">
      <c r="B37" s="835" t="s">
        <v>466</v>
      </c>
      <c r="C37" s="848" t="s">
        <v>803</v>
      </c>
      <c r="D37" s="835" t="s">
        <v>789</v>
      </c>
      <c r="E37" s="876">
        <f>IFERROR(E38/E24/12*1000, 0)</f>
        <v>1436.4285061716944</v>
      </c>
      <c r="F37" s="868"/>
    </row>
    <row r="38" spans="2:6" s="1" customFormat="1" ht="15.75" thickBot="1" x14ac:dyDescent="0.3">
      <c r="B38" s="869" t="s">
        <v>804</v>
      </c>
      <c r="C38" s="864" t="s">
        <v>805</v>
      </c>
      <c r="D38" s="863" t="s">
        <v>770</v>
      </c>
      <c r="E38" s="870">
        <f>VAS073_F_Darbouzmokesci52ApskaitosVeikla+VAS073_F_Darbouzmokesci53IsViso+VAS073_F_Darbouzmokesci54IsViso+VAS073_F_Darbouzmokesci55PavirsiniuNuoteku</f>
        <v>120.65999451842234</v>
      </c>
      <c r="F38" s="866" t="s">
        <v>148</v>
      </c>
    </row>
    <row r="39" spans="2:6" s="1" customFormat="1" ht="15.75" thickBot="1" x14ac:dyDescent="0.3">
      <c r="B39" s="877" t="s">
        <v>470</v>
      </c>
      <c r="C39" s="878" t="s">
        <v>806</v>
      </c>
      <c r="D39" s="879" t="s">
        <v>789</v>
      </c>
      <c r="E39" s="880">
        <f>IFERROR((E28+E30+E32+E34+E36+E38)/E11/12*1000, 0)</f>
        <v>1124.3607669750581</v>
      </c>
      <c r="F39" s="881"/>
    </row>
    <row r="40" spans="2:6" s="1" customFormat="1" ht="26.25" thickBot="1" x14ac:dyDescent="0.3">
      <c r="B40" s="822" t="s">
        <v>474</v>
      </c>
      <c r="C40" s="882" t="s">
        <v>807</v>
      </c>
      <c r="D40" s="822" t="s">
        <v>775</v>
      </c>
      <c r="E40" s="883">
        <f>IFERROR((E12+E23)/E24, 0)</f>
        <v>3.5714285714285716</v>
      </c>
      <c r="F40" s="824"/>
    </row>
    <row r="41" spans="2:6" s="1" customFormat="1" x14ac:dyDescent="0.25">
      <c r="C41" s="825"/>
    </row>
    <row r="42" spans="2:6" s="1" customFormat="1" x14ac:dyDescent="0.25">
      <c r="C42" s="884" t="s">
        <v>771</v>
      </c>
    </row>
    <row r="43" spans="2:6" s="1" customFormat="1" x14ac:dyDescent="0.25">
      <c r="E43" s="885"/>
    </row>
    <row r="44" spans="2:6" s="1" customFormat="1" x14ac:dyDescent="0.25">
      <c r="E44" s="885"/>
    </row>
    <row r="45" spans="2:6" s="1" customFormat="1" x14ac:dyDescent="0.25">
      <c r="E45" s="885"/>
    </row>
    <row r="46" spans="2:6" s="1" customFormat="1" x14ac:dyDescent="0.25">
      <c r="E46" s="885"/>
    </row>
  </sheetData>
  <sheetProtection algorithmName="SHA-512" hashValue="/z9yS3NHCXhijxCk2C9ubOpoB0VXl413lQjOGf1vVCdOPrdQiXT1+fHKFfzvY5GXL5DsnEBG/gegugFAkx6lHA==" saltValue="tqG5c6Qo3Ae/bkmE+BmoKim5i6mGvYCsVkJ5VANs8nrSQS3wd4iUPtRSW+e++V220+R96DBOPkch8yoiAihfsg=="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topLeftCell="A61" workbookViewId="0">
      <selection activeCell="E91" sqref="E91"/>
    </sheetView>
  </sheetViews>
  <sheetFormatPr defaultColWidth="9.140625" defaultRowHeight="15" x14ac:dyDescent="0.25"/>
  <cols>
    <col min="1" max="1" width="9.140625" style="422"/>
    <col min="2" max="2" width="10.42578125" style="422" customWidth="1"/>
    <col min="3" max="3" width="64.85546875" style="422" customWidth="1"/>
    <col min="4" max="4" width="16" style="422" customWidth="1"/>
    <col min="5" max="5" width="22.140625" style="422" customWidth="1"/>
    <col min="6" max="6" width="34.28515625" style="422" customWidth="1"/>
    <col min="7" max="7" width="14.85546875" style="422" customWidth="1"/>
    <col min="8" max="16384" width="9.140625" style="422"/>
  </cols>
  <sheetData>
    <row r="1" spans="1:7" s="1" customFormat="1" x14ac:dyDescent="0.25">
      <c r="A1" s="1435" t="s">
        <v>0</v>
      </c>
      <c r="B1" s="1436"/>
      <c r="C1" s="1436"/>
      <c r="D1" s="1436"/>
      <c r="E1" s="1437"/>
    </row>
    <row r="2" spans="1:7" s="1" customFormat="1" x14ac:dyDescent="0.25">
      <c r="A2" s="1435" t="s">
        <v>1</v>
      </c>
      <c r="B2" s="1436"/>
      <c r="C2" s="1436"/>
      <c r="D2" s="1436"/>
      <c r="E2" s="1437"/>
    </row>
    <row r="3" spans="1:7" s="1" customFormat="1" x14ac:dyDescent="0.25">
      <c r="A3" s="1438"/>
      <c r="B3" s="1439"/>
      <c r="C3" s="1439"/>
      <c r="D3" s="1439"/>
      <c r="E3" s="1440"/>
    </row>
    <row r="4" spans="1:7" s="1" customFormat="1" x14ac:dyDescent="0.25">
      <c r="A4" s="886"/>
      <c r="B4" s="886"/>
      <c r="C4" s="886"/>
      <c r="D4" s="886"/>
      <c r="E4" s="886"/>
    </row>
    <row r="5" spans="1:7" s="1" customFormat="1" x14ac:dyDescent="0.25">
      <c r="A5" s="1441" t="s">
        <v>808</v>
      </c>
      <c r="B5" s="1442"/>
      <c r="C5" s="1442"/>
      <c r="D5" s="1442"/>
      <c r="E5" s="1443"/>
    </row>
    <row r="6" spans="1:7" s="1" customFormat="1" x14ac:dyDescent="0.25">
      <c r="A6" s="886"/>
      <c r="B6" s="886"/>
      <c r="C6" s="886"/>
      <c r="D6" s="886"/>
      <c r="E6" s="886"/>
    </row>
    <row r="8" spans="1:7" s="1" customFormat="1" ht="27" customHeight="1" thickBot="1" x14ac:dyDescent="0.3">
      <c r="B8" s="1362" t="s">
        <v>809</v>
      </c>
      <c r="C8" s="1362"/>
      <c r="D8" s="1362"/>
      <c r="E8" s="1362"/>
    </row>
    <row r="9" spans="1:7" s="1" customFormat="1" ht="15.75" thickBot="1" x14ac:dyDescent="0.3">
      <c r="B9" s="887" t="s">
        <v>4</v>
      </c>
      <c r="C9" s="888" t="s">
        <v>810</v>
      </c>
      <c r="D9" s="889" t="s">
        <v>682</v>
      </c>
      <c r="E9" s="890" t="s">
        <v>49</v>
      </c>
      <c r="F9" s="891"/>
      <c r="G9" s="892"/>
    </row>
    <row r="10" spans="1:7" s="1" customFormat="1" ht="16.5" customHeight="1" thickTop="1" thickBot="1" x14ac:dyDescent="0.3">
      <c r="B10" s="893"/>
      <c r="C10" s="894" t="s">
        <v>811</v>
      </c>
      <c r="D10" s="895"/>
      <c r="E10" s="896"/>
      <c r="F10" s="891"/>
      <c r="G10" s="892"/>
    </row>
    <row r="11" spans="1:7" s="1" customFormat="1" ht="15.75" thickTop="1" x14ac:dyDescent="0.25">
      <c r="B11" s="897">
        <v>1</v>
      </c>
      <c r="C11" s="898" t="s">
        <v>812</v>
      </c>
      <c r="D11" s="899" t="s">
        <v>742</v>
      </c>
      <c r="E11" s="900">
        <v>291.60000000000002</v>
      </c>
      <c r="F11" s="901"/>
      <c r="G11" s="892"/>
    </row>
    <row r="12" spans="1:7" s="1" customFormat="1" ht="15.75" thickBot="1" x14ac:dyDescent="0.3">
      <c r="B12" s="902">
        <v>2</v>
      </c>
      <c r="C12" s="903" t="s">
        <v>813</v>
      </c>
      <c r="D12" s="904" t="s">
        <v>742</v>
      </c>
      <c r="E12" s="905">
        <v>291.60000000000002</v>
      </c>
      <c r="F12" s="891"/>
      <c r="G12" s="892"/>
    </row>
    <row r="13" spans="1:7" s="1" customFormat="1" x14ac:dyDescent="0.25">
      <c r="B13" s="906">
        <v>3</v>
      </c>
      <c r="C13" s="907" t="s">
        <v>814</v>
      </c>
      <c r="D13" s="908" t="s">
        <v>742</v>
      </c>
      <c r="E13" s="909">
        <v>255.4</v>
      </c>
      <c r="F13" s="891"/>
      <c r="G13" s="892"/>
    </row>
    <row r="14" spans="1:7" s="1" customFormat="1" x14ac:dyDescent="0.25">
      <c r="B14" s="910" t="s">
        <v>815</v>
      </c>
      <c r="C14" s="911" t="s">
        <v>816</v>
      </c>
      <c r="D14" s="912" t="s">
        <v>742</v>
      </c>
      <c r="E14" s="913">
        <v>115.6</v>
      </c>
      <c r="F14" s="914"/>
      <c r="G14" s="892"/>
    </row>
    <row r="15" spans="1:7" s="1" customFormat="1" ht="15.75" thickBot="1" x14ac:dyDescent="0.3">
      <c r="B15" s="915" t="s">
        <v>817</v>
      </c>
      <c r="C15" s="916" t="s">
        <v>818</v>
      </c>
      <c r="D15" s="917" t="s">
        <v>742</v>
      </c>
      <c r="E15" s="918"/>
      <c r="F15" s="914"/>
    </row>
    <row r="16" spans="1:7" s="1" customFormat="1" x14ac:dyDescent="0.25">
      <c r="B16" s="906" t="s">
        <v>819</v>
      </c>
      <c r="C16" s="907" t="s">
        <v>820</v>
      </c>
      <c r="D16" s="919" t="s">
        <v>742</v>
      </c>
      <c r="E16" s="920">
        <f>E17+E21+E23</f>
        <v>235.5</v>
      </c>
      <c r="F16" s="891"/>
    </row>
    <row r="17" spans="2:7" s="1" customFormat="1" x14ac:dyDescent="0.25">
      <c r="B17" s="921" t="s">
        <v>821</v>
      </c>
      <c r="C17" s="922" t="s">
        <v>822</v>
      </c>
      <c r="D17" s="923" t="s">
        <v>742</v>
      </c>
      <c r="E17" s="924">
        <f>E18+E20</f>
        <v>137</v>
      </c>
      <c r="F17" s="914"/>
    </row>
    <row r="18" spans="2:7" s="1" customFormat="1" x14ac:dyDescent="0.25">
      <c r="B18" s="910" t="s">
        <v>823</v>
      </c>
      <c r="C18" s="911" t="s">
        <v>824</v>
      </c>
      <c r="D18" s="912" t="s">
        <v>742</v>
      </c>
      <c r="E18" s="925">
        <v>95.8</v>
      </c>
      <c r="F18" s="926"/>
    </row>
    <row r="19" spans="2:7" s="1" customFormat="1" x14ac:dyDescent="0.25">
      <c r="B19" s="927" t="s">
        <v>825</v>
      </c>
      <c r="C19" s="928" t="s">
        <v>818</v>
      </c>
      <c r="D19" s="929" t="s">
        <v>742</v>
      </c>
      <c r="E19" s="925"/>
      <c r="F19" s="930"/>
    </row>
    <row r="20" spans="2:7" s="1" customFormat="1" x14ac:dyDescent="0.25">
      <c r="B20" s="910" t="s">
        <v>826</v>
      </c>
      <c r="C20" s="911" t="s">
        <v>827</v>
      </c>
      <c r="D20" s="912" t="s">
        <v>742</v>
      </c>
      <c r="E20" s="925">
        <v>41.2</v>
      </c>
      <c r="F20" s="931"/>
    </row>
    <row r="21" spans="2:7" s="1" customFormat="1" x14ac:dyDescent="0.25">
      <c r="B21" s="921" t="s">
        <v>828</v>
      </c>
      <c r="C21" s="922" t="s">
        <v>829</v>
      </c>
      <c r="D21" s="923" t="s">
        <v>742</v>
      </c>
      <c r="E21" s="932">
        <v>98.5</v>
      </c>
      <c r="F21" s="914"/>
    </row>
    <row r="22" spans="2:7" s="1" customFormat="1" x14ac:dyDescent="0.25">
      <c r="B22" s="910" t="s">
        <v>830</v>
      </c>
      <c r="C22" s="911" t="s">
        <v>831</v>
      </c>
      <c r="D22" s="912" t="s">
        <v>742</v>
      </c>
      <c r="E22" s="925">
        <v>15.5</v>
      </c>
      <c r="F22" s="914"/>
    </row>
    <row r="23" spans="2:7" s="1" customFormat="1" ht="15.75" thickBot="1" x14ac:dyDescent="0.3">
      <c r="B23" s="902" t="s">
        <v>832</v>
      </c>
      <c r="C23" s="903" t="s">
        <v>833</v>
      </c>
      <c r="D23" s="904" t="s">
        <v>742</v>
      </c>
      <c r="E23" s="905"/>
    </row>
    <row r="24" spans="2:7" s="1" customFormat="1" ht="15.75" thickBot="1" x14ac:dyDescent="0.3">
      <c r="B24" s="933" t="s">
        <v>834</v>
      </c>
      <c r="C24" s="934" t="s">
        <v>835</v>
      </c>
      <c r="D24" s="935" t="s">
        <v>742</v>
      </c>
      <c r="E24" s="936"/>
      <c r="F24" s="914"/>
      <c r="G24" s="937"/>
    </row>
    <row r="25" spans="2:7" s="1" customFormat="1" x14ac:dyDescent="0.25">
      <c r="B25" s="938" t="s">
        <v>836</v>
      </c>
      <c r="C25" s="939" t="s">
        <v>837</v>
      </c>
      <c r="D25" s="940" t="s">
        <v>742</v>
      </c>
      <c r="E25" s="941">
        <f>E11-E16-E24</f>
        <v>56.100000000000023</v>
      </c>
      <c r="F25" s="891"/>
    </row>
    <row r="26" spans="2:7" s="1" customFormat="1" x14ac:dyDescent="0.25">
      <c r="B26" s="942" t="s">
        <v>838</v>
      </c>
      <c r="C26" s="911" t="s">
        <v>839</v>
      </c>
      <c r="D26" s="912" t="s">
        <v>742</v>
      </c>
      <c r="E26" s="943">
        <f>E11-E13</f>
        <v>36.200000000000017</v>
      </c>
      <c r="F26" s="892"/>
      <c r="G26" s="944"/>
    </row>
    <row r="27" spans="2:7" s="1" customFormat="1" x14ac:dyDescent="0.25">
      <c r="B27" s="942" t="s">
        <v>840</v>
      </c>
      <c r="C27" s="911" t="s">
        <v>841</v>
      </c>
      <c r="D27" s="912" t="s">
        <v>742</v>
      </c>
      <c r="E27" s="943">
        <f>E13-E16-E24-E29</f>
        <v>0.10000000000000853</v>
      </c>
      <c r="F27" s="892"/>
      <c r="G27" s="944"/>
    </row>
    <row r="28" spans="2:7" s="1" customFormat="1" x14ac:dyDescent="0.25">
      <c r="B28" s="910" t="s">
        <v>842</v>
      </c>
      <c r="C28" s="911" t="s">
        <v>843</v>
      </c>
      <c r="D28" s="912" t="s">
        <v>742</v>
      </c>
      <c r="E28" s="945">
        <f>$E$14-$E$18</f>
        <v>19.799999999999997</v>
      </c>
      <c r="F28" s="891"/>
    </row>
    <row r="29" spans="2:7" s="1" customFormat="1" x14ac:dyDescent="0.25">
      <c r="B29" s="927" t="s">
        <v>844</v>
      </c>
      <c r="C29" s="928" t="s">
        <v>845</v>
      </c>
      <c r="D29" s="929" t="s">
        <v>742</v>
      </c>
      <c r="E29" s="946">
        <f>$E$14-$E$18</f>
        <v>19.799999999999997</v>
      </c>
      <c r="F29" s="891"/>
    </row>
    <row r="30" spans="2:7" s="1" customFormat="1" ht="15.75" thickBot="1" x14ac:dyDescent="0.3">
      <c r="B30" s="927" t="s">
        <v>846</v>
      </c>
      <c r="C30" s="947" t="s">
        <v>847</v>
      </c>
      <c r="D30" s="948" t="s">
        <v>742</v>
      </c>
      <c r="E30" s="949">
        <f>E15-E19</f>
        <v>0</v>
      </c>
      <c r="F30" s="891"/>
    </row>
    <row r="31" spans="2:7" s="1" customFormat="1" ht="16.5" thickTop="1" thickBot="1" x14ac:dyDescent="0.3">
      <c r="B31" s="893"/>
      <c r="C31" s="894" t="s">
        <v>848</v>
      </c>
      <c r="D31" s="895"/>
      <c r="E31" s="896"/>
      <c r="F31" s="891"/>
    </row>
    <row r="32" spans="2:7" s="1" customFormat="1" ht="15.75" thickTop="1" x14ac:dyDescent="0.25">
      <c r="B32" s="906" t="s">
        <v>849</v>
      </c>
      <c r="C32" s="907" t="s">
        <v>850</v>
      </c>
      <c r="D32" s="912" t="s">
        <v>742</v>
      </c>
      <c r="E32" s="920">
        <f>E33+E34</f>
        <v>445.1</v>
      </c>
      <c r="F32" s="891"/>
    </row>
    <row r="33" spans="2:6" s="1" customFormat="1" x14ac:dyDescent="0.25">
      <c r="B33" s="910" t="s">
        <v>851</v>
      </c>
      <c r="C33" s="911" t="s">
        <v>852</v>
      </c>
      <c r="D33" s="912" t="s">
        <v>742</v>
      </c>
      <c r="E33" s="950">
        <v>444.3</v>
      </c>
      <c r="F33" s="892"/>
    </row>
    <row r="34" spans="2:6" s="1" customFormat="1" ht="15.75" thickBot="1" x14ac:dyDescent="0.3">
      <c r="B34" s="910" t="s">
        <v>853</v>
      </c>
      <c r="C34" s="951" t="s">
        <v>854</v>
      </c>
      <c r="D34" s="912" t="s">
        <v>742</v>
      </c>
      <c r="E34" s="950">
        <v>0.8</v>
      </c>
      <c r="F34" s="892"/>
    </row>
    <row r="35" spans="2:6" s="1" customFormat="1" ht="26.25" thickBot="1" x14ac:dyDescent="0.3">
      <c r="B35" s="952" t="s">
        <v>855</v>
      </c>
      <c r="C35" s="953" t="s">
        <v>856</v>
      </c>
      <c r="D35" s="954" t="s">
        <v>742</v>
      </c>
      <c r="E35" s="955">
        <v>445.1</v>
      </c>
      <c r="F35" s="956"/>
    </row>
    <row r="36" spans="2:6" s="1" customFormat="1" ht="15.75" thickBot="1" x14ac:dyDescent="0.3">
      <c r="B36" s="933" t="s">
        <v>857</v>
      </c>
      <c r="C36" s="934" t="s">
        <v>858</v>
      </c>
      <c r="D36" s="954" t="s">
        <v>742</v>
      </c>
      <c r="E36" s="936">
        <v>445.1</v>
      </c>
      <c r="F36" s="891"/>
    </row>
    <row r="37" spans="2:6" s="1" customFormat="1" ht="15.75" thickBot="1" x14ac:dyDescent="0.3">
      <c r="B37" s="957" t="s">
        <v>859</v>
      </c>
      <c r="C37" s="958" t="s">
        <v>860</v>
      </c>
      <c r="D37" s="908" t="s">
        <v>742</v>
      </c>
      <c r="E37" s="959"/>
      <c r="F37" s="960"/>
    </row>
    <row r="38" spans="2:6" s="1" customFormat="1" ht="26.25" thickBot="1" x14ac:dyDescent="0.3">
      <c r="B38" s="961" t="s">
        <v>861</v>
      </c>
      <c r="C38" s="962" t="s">
        <v>862</v>
      </c>
      <c r="D38" s="963" t="s">
        <v>742</v>
      </c>
      <c r="E38" s="964">
        <f>E39+E43+E46</f>
        <v>234.79999999999998</v>
      </c>
      <c r="F38" s="892"/>
    </row>
    <row r="39" spans="2:6" s="1" customFormat="1" x14ac:dyDescent="0.25">
      <c r="B39" s="906" t="s">
        <v>863</v>
      </c>
      <c r="C39" s="907" t="s">
        <v>864</v>
      </c>
      <c r="D39" s="908" t="s">
        <v>742</v>
      </c>
      <c r="E39" s="920">
        <f>E40+E42</f>
        <v>140.19999999999999</v>
      </c>
      <c r="F39" s="914"/>
    </row>
    <row r="40" spans="2:6" s="1" customFormat="1" x14ac:dyDescent="0.25">
      <c r="B40" s="910" t="s">
        <v>865</v>
      </c>
      <c r="C40" s="911" t="s">
        <v>866</v>
      </c>
      <c r="D40" s="912" t="s">
        <v>742</v>
      </c>
      <c r="E40" s="950">
        <v>96.2</v>
      </c>
      <c r="F40" s="892"/>
    </row>
    <row r="41" spans="2:6" s="1" customFormat="1" x14ac:dyDescent="0.25">
      <c r="B41" s="927" t="s">
        <v>867</v>
      </c>
      <c r="C41" s="928" t="s">
        <v>868</v>
      </c>
      <c r="D41" s="929" t="s">
        <v>742</v>
      </c>
      <c r="E41" s="925"/>
      <c r="F41" s="930"/>
    </row>
    <row r="42" spans="2:6" s="1" customFormat="1" ht="15.75" thickBot="1" x14ac:dyDescent="0.3">
      <c r="B42" s="915" t="s">
        <v>869</v>
      </c>
      <c r="C42" s="916" t="s">
        <v>827</v>
      </c>
      <c r="D42" s="917" t="s">
        <v>742</v>
      </c>
      <c r="E42" s="918">
        <v>44</v>
      </c>
      <c r="F42" s="931"/>
    </row>
    <row r="43" spans="2:6" s="1" customFormat="1" x14ac:dyDescent="0.25">
      <c r="B43" s="906" t="s">
        <v>870</v>
      </c>
      <c r="C43" s="907" t="s">
        <v>871</v>
      </c>
      <c r="D43" s="908" t="s">
        <v>742</v>
      </c>
      <c r="E43" s="909">
        <v>94.6</v>
      </c>
      <c r="F43" s="914"/>
    </row>
    <row r="44" spans="2:6" s="1" customFormat="1" x14ac:dyDescent="0.25">
      <c r="B44" s="910" t="s">
        <v>872</v>
      </c>
      <c r="C44" s="965" t="s">
        <v>873</v>
      </c>
      <c r="D44" s="929" t="s">
        <v>742</v>
      </c>
      <c r="E44" s="950">
        <v>94.6</v>
      </c>
      <c r="F44" s="892"/>
    </row>
    <row r="45" spans="2:6" s="1" customFormat="1" ht="15.75" thickBot="1" x14ac:dyDescent="0.3">
      <c r="B45" s="966" t="s">
        <v>874</v>
      </c>
      <c r="C45" s="967" t="s">
        <v>875</v>
      </c>
      <c r="D45" s="917" t="s">
        <v>742</v>
      </c>
      <c r="E45" s="968">
        <v>94.6</v>
      </c>
      <c r="F45" s="892"/>
    </row>
    <row r="46" spans="2:6" s="1" customFormat="1" ht="15.75" thickBot="1" x14ac:dyDescent="0.3">
      <c r="B46" s="933" t="s">
        <v>876</v>
      </c>
      <c r="C46" s="934" t="s">
        <v>877</v>
      </c>
      <c r="D46" s="935" t="s">
        <v>742</v>
      </c>
      <c r="E46" s="936"/>
      <c r="F46" s="914"/>
    </row>
    <row r="47" spans="2:6" s="1" customFormat="1" x14ac:dyDescent="0.25">
      <c r="B47" s="906" t="s">
        <v>878</v>
      </c>
      <c r="C47" s="907" t="s">
        <v>879</v>
      </c>
      <c r="D47" s="940" t="s">
        <v>742</v>
      </c>
      <c r="E47" s="920">
        <f>E32-E38</f>
        <v>210.30000000000004</v>
      </c>
      <c r="F47" s="930"/>
    </row>
    <row r="48" spans="2:6" s="1" customFormat="1" x14ac:dyDescent="0.25">
      <c r="B48" s="910" t="s">
        <v>880</v>
      </c>
      <c r="C48" s="911" t="s">
        <v>881</v>
      </c>
      <c r="D48" s="912" t="s">
        <v>742</v>
      </c>
      <c r="E48" s="969">
        <f>E47-E49</f>
        <v>190.90000000000003</v>
      </c>
      <c r="F48" s="914"/>
    </row>
    <row r="49" spans="2:6" s="1" customFormat="1" x14ac:dyDescent="0.25">
      <c r="B49" s="910" t="s">
        <v>882</v>
      </c>
      <c r="C49" s="911" t="s">
        <v>883</v>
      </c>
      <c r="D49" s="912" t="s">
        <v>742</v>
      </c>
      <c r="E49" s="969">
        <f>E14-E40</f>
        <v>19.399999999999991</v>
      </c>
      <c r="F49" s="914"/>
    </row>
    <row r="50" spans="2:6" s="1" customFormat="1" ht="15.75" thickBot="1" x14ac:dyDescent="0.3">
      <c r="B50" s="915" t="s">
        <v>884</v>
      </c>
      <c r="C50" s="970" t="s">
        <v>885</v>
      </c>
      <c r="D50" s="917" t="s">
        <v>742</v>
      </c>
      <c r="E50" s="971"/>
      <c r="F50" s="914"/>
    </row>
    <row r="51" spans="2:6" s="1" customFormat="1" ht="16.5" thickTop="1" thickBot="1" x14ac:dyDescent="0.3">
      <c r="B51" s="893"/>
      <c r="C51" s="894" t="s">
        <v>886</v>
      </c>
      <c r="D51" s="895"/>
      <c r="E51" s="896"/>
      <c r="F51" s="914"/>
    </row>
    <row r="52" spans="2:6" s="1" customFormat="1" ht="15.75" thickTop="1" x14ac:dyDescent="0.25">
      <c r="B52" s="906" t="s">
        <v>887</v>
      </c>
      <c r="C52" s="972" t="s">
        <v>888</v>
      </c>
      <c r="D52" s="908" t="s">
        <v>742</v>
      </c>
      <c r="E52" s="920">
        <f>SUM(E53:E54)</f>
        <v>0</v>
      </c>
    </row>
    <row r="53" spans="2:6" s="1" customFormat="1" x14ac:dyDescent="0.25">
      <c r="B53" s="973" t="s">
        <v>889</v>
      </c>
      <c r="C53" s="974" t="s">
        <v>890</v>
      </c>
      <c r="D53" s="912" t="s">
        <v>742</v>
      </c>
      <c r="E53" s="975"/>
    </row>
    <row r="54" spans="2:6" s="1" customFormat="1" ht="15.75" thickBot="1" x14ac:dyDescent="0.3">
      <c r="B54" s="976" t="s">
        <v>891</v>
      </c>
      <c r="C54" s="977" t="s">
        <v>892</v>
      </c>
      <c r="D54" s="978" t="s">
        <v>742</v>
      </c>
      <c r="E54" s="979"/>
      <c r="F54" s="960"/>
    </row>
    <row r="55" spans="2:6" s="1" customFormat="1" ht="15.75" thickBot="1" x14ac:dyDescent="0.3">
      <c r="B55" s="933" t="s">
        <v>893</v>
      </c>
      <c r="C55" s="934" t="s">
        <v>894</v>
      </c>
      <c r="D55" s="935" t="s">
        <v>742</v>
      </c>
      <c r="E55" s="936"/>
    </row>
    <row r="56" spans="2:6" s="1" customFormat="1" x14ac:dyDescent="0.25">
      <c r="B56" s="906" t="s">
        <v>895</v>
      </c>
      <c r="C56" s="907" t="s">
        <v>896</v>
      </c>
      <c r="D56" s="908" t="s">
        <v>742</v>
      </c>
      <c r="E56" s="909"/>
    </row>
    <row r="57" spans="2:6" s="1" customFormat="1" x14ac:dyDescent="0.25">
      <c r="B57" s="966" t="s">
        <v>897</v>
      </c>
      <c r="C57" s="974" t="s">
        <v>890</v>
      </c>
      <c r="D57" s="912" t="s">
        <v>742</v>
      </c>
      <c r="E57" s="905"/>
    </row>
    <row r="58" spans="2:6" s="1" customFormat="1" ht="15.75" thickBot="1" x14ac:dyDescent="0.3">
      <c r="B58" s="966" t="s">
        <v>898</v>
      </c>
      <c r="C58" s="977" t="s">
        <v>892</v>
      </c>
      <c r="D58" s="978" t="s">
        <v>742</v>
      </c>
      <c r="E58" s="968"/>
    </row>
    <row r="59" spans="2:6" s="1" customFormat="1" ht="15.75" thickBot="1" x14ac:dyDescent="0.3">
      <c r="B59" s="980" t="s">
        <v>899</v>
      </c>
      <c r="C59" s="981" t="s">
        <v>900</v>
      </c>
      <c r="D59" s="982" t="s">
        <v>742</v>
      </c>
      <c r="E59" s="983">
        <f>E52-E56</f>
        <v>0</v>
      </c>
    </row>
    <row r="60" spans="2:6" s="1" customFormat="1" ht="16.5" thickTop="1" thickBot="1" x14ac:dyDescent="0.3">
      <c r="B60" s="893"/>
      <c r="C60" s="894" t="s">
        <v>901</v>
      </c>
      <c r="D60" s="895"/>
      <c r="E60" s="896"/>
    </row>
    <row r="61" spans="2:6" s="1" customFormat="1" ht="16.5" thickTop="1" thickBot="1" x14ac:dyDescent="0.3">
      <c r="B61" s="984" t="s">
        <v>902</v>
      </c>
      <c r="C61" s="985" t="s">
        <v>903</v>
      </c>
      <c r="D61" s="985" t="s">
        <v>904</v>
      </c>
      <c r="E61" s="986">
        <f>IF(E11=0,0,E25/E11*100)</f>
        <v>19.238683127572024</v>
      </c>
    </row>
    <row r="62" spans="2:6" s="1" customFormat="1" ht="15.75" thickBot="1" x14ac:dyDescent="0.3">
      <c r="B62" s="987" t="s">
        <v>905</v>
      </c>
      <c r="C62" s="988" t="s">
        <v>906</v>
      </c>
      <c r="D62" s="988" t="s">
        <v>904</v>
      </c>
      <c r="E62" s="989">
        <f>IF(E11=0,0,E26/E11*100)</f>
        <v>12.414266117969827</v>
      </c>
    </row>
    <row r="63" spans="2:6" s="1" customFormat="1" ht="26.25" thickBot="1" x14ac:dyDescent="0.3">
      <c r="B63" s="984" t="s">
        <v>907</v>
      </c>
      <c r="C63" s="985" t="s">
        <v>908</v>
      </c>
      <c r="D63" s="985" t="s">
        <v>904</v>
      </c>
      <c r="E63" s="986">
        <f>IF(E32=0,0,E47/E32*100)</f>
        <v>47.247809481015508</v>
      </c>
    </row>
    <row r="64" spans="2:6" s="1" customFormat="1" ht="26.25" thickBot="1" x14ac:dyDescent="0.3">
      <c r="B64" s="990" t="s">
        <v>909</v>
      </c>
      <c r="C64" s="991" t="s">
        <v>910</v>
      </c>
      <c r="D64" s="991" t="s">
        <v>904</v>
      </c>
      <c r="E64" s="992">
        <f>IF(E52=0,0,E59/E52*100)</f>
        <v>0</v>
      </c>
    </row>
    <row r="65" spans="2:6" s="1" customFormat="1" ht="16.5" thickTop="1" thickBot="1" x14ac:dyDescent="0.3">
      <c r="B65" s="893"/>
      <c r="C65" s="894" t="s">
        <v>911</v>
      </c>
      <c r="D65" s="895"/>
      <c r="E65" s="896"/>
    </row>
    <row r="66" spans="2:6" s="1" customFormat="1" ht="16.5" thickTop="1" thickBot="1" x14ac:dyDescent="0.3">
      <c r="B66" s="902" t="s">
        <v>912</v>
      </c>
      <c r="C66" s="904" t="s">
        <v>913</v>
      </c>
      <c r="D66" s="978" t="s">
        <v>775</v>
      </c>
      <c r="E66" s="993">
        <v>3639</v>
      </c>
    </row>
    <row r="67" spans="2:6" s="1" customFormat="1" ht="15.75" thickBot="1" x14ac:dyDescent="0.3">
      <c r="B67" s="933" t="s">
        <v>914</v>
      </c>
      <c r="C67" s="935" t="s">
        <v>915</v>
      </c>
      <c r="D67" s="994" t="s">
        <v>916</v>
      </c>
      <c r="E67" s="995">
        <v>2183</v>
      </c>
    </row>
    <row r="68" spans="2:6" s="1" customFormat="1" x14ac:dyDescent="0.25">
      <c r="B68" s="906" t="s">
        <v>917</v>
      </c>
      <c r="C68" s="908" t="s">
        <v>918</v>
      </c>
      <c r="D68" s="919" t="s">
        <v>916</v>
      </c>
      <c r="E68" s="996">
        <f>E69+E72+E73+E74+E75</f>
        <v>2215</v>
      </c>
    </row>
    <row r="69" spans="2:6" s="1" customFormat="1" x14ac:dyDescent="0.25">
      <c r="B69" s="966" t="s">
        <v>919</v>
      </c>
      <c r="C69" s="912" t="s">
        <v>920</v>
      </c>
      <c r="D69" s="912" t="s">
        <v>916</v>
      </c>
      <c r="E69" s="997">
        <f>SUM(E70:E71)</f>
        <v>2098</v>
      </c>
    </row>
    <row r="70" spans="2:6" s="1" customFormat="1" x14ac:dyDescent="0.25">
      <c r="B70" s="927" t="s">
        <v>921</v>
      </c>
      <c r="C70" s="998" t="s">
        <v>922</v>
      </c>
      <c r="D70" s="929" t="s">
        <v>916</v>
      </c>
      <c r="E70" s="999">
        <v>1674</v>
      </c>
    </row>
    <row r="71" spans="2:6" s="1" customFormat="1" x14ac:dyDescent="0.25">
      <c r="B71" s="927" t="s">
        <v>923</v>
      </c>
      <c r="C71" s="998" t="s">
        <v>924</v>
      </c>
      <c r="D71" s="929" t="s">
        <v>916</v>
      </c>
      <c r="E71" s="999">
        <v>424</v>
      </c>
    </row>
    <row r="72" spans="2:6" s="1" customFormat="1" x14ac:dyDescent="0.25">
      <c r="B72" s="910" t="s">
        <v>925</v>
      </c>
      <c r="C72" s="912" t="s">
        <v>926</v>
      </c>
      <c r="D72" s="912" t="s">
        <v>916</v>
      </c>
      <c r="E72" s="1000">
        <v>38</v>
      </c>
      <c r="F72" s="1001"/>
    </row>
    <row r="73" spans="2:6" s="1" customFormat="1" x14ac:dyDescent="0.25">
      <c r="B73" s="910" t="s">
        <v>927</v>
      </c>
      <c r="C73" s="912" t="s">
        <v>928</v>
      </c>
      <c r="D73" s="912" t="s">
        <v>916</v>
      </c>
      <c r="E73" s="1000">
        <v>79</v>
      </c>
      <c r="F73" s="1001"/>
    </row>
    <row r="74" spans="2:6" s="1" customFormat="1" x14ac:dyDescent="0.25">
      <c r="B74" s="976" t="s">
        <v>929</v>
      </c>
      <c r="C74" s="1002" t="s">
        <v>930</v>
      </c>
      <c r="D74" s="1003" t="s">
        <v>916</v>
      </c>
      <c r="E74" s="1004"/>
      <c r="F74" s="1001"/>
    </row>
    <row r="75" spans="2:6" s="1" customFormat="1" ht="15.75" thickBot="1" x14ac:dyDescent="0.3">
      <c r="B75" s="1005" t="s">
        <v>931</v>
      </c>
      <c r="C75" s="1006" t="s">
        <v>932</v>
      </c>
      <c r="D75" s="1007" t="s">
        <v>916</v>
      </c>
      <c r="E75" s="1008"/>
      <c r="F75" s="1001"/>
    </row>
    <row r="76" spans="2:6" s="1" customFormat="1" x14ac:dyDescent="0.25">
      <c r="B76" s="906" t="s">
        <v>933</v>
      </c>
      <c r="C76" s="908" t="s">
        <v>934</v>
      </c>
      <c r="D76" s="919" t="s">
        <v>916</v>
      </c>
      <c r="E76" s="1009">
        <f>SUM(E77:E79)</f>
        <v>547</v>
      </c>
    </row>
    <row r="77" spans="2:6" s="1" customFormat="1" x14ac:dyDescent="0.25">
      <c r="B77" s="910" t="s">
        <v>935</v>
      </c>
      <c r="C77" s="912" t="s">
        <v>936</v>
      </c>
      <c r="D77" s="912" t="s">
        <v>916</v>
      </c>
      <c r="E77" s="1000">
        <v>486</v>
      </c>
    </row>
    <row r="78" spans="2:6" s="1" customFormat="1" x14ac:dyDescent="0.25">
      <c r="B78" s="966" t="s">
        <v>937</v>
      </c>
      <c r="C78" s="978" t="s">
        <v>938</v>
      </c>
      <c r="D78" s="978" t="s">
        <v>916</v>
      </c>
      <c r="E78" s="993">
        <v>49</v>
      </c>
    </row>
    <row r="79" spans="2:6" s="1" customFormat="1" ht="15.75" thickBot="1" x14ac:dyDescent="0.3">
      <c r="B79" s="910" t="s">
        <v>939</v>
      </c>
      <c r="C79" s="912" t="s">
        <v>940</v>
      </c>
      <c r="D79" s="912" t="s">
        <v>916</v>
      </c>
      <c r="E79" s="1000">
        <v>12</v>
      </c>
    </row>
    <row r="80" spans="2:6" s="1" customFormat="1" x14ac:dyDescent="0.25">
      <c r="B80" s="906" t="s">
        <v>941</v>
      </c>
      <c r="C80" s="908" t="s">
        <v>942</v>
      </c>
      <c r="D80" s="1010" t="s">
        <v>916</v>
      </c>
      <c r="E80" s="1011">
        <f>SUM(E81:E83)</f>
        <v>2762</v>
      </c>
    </row>
    <row r="81" spans="2:5" s="1" customFormat="1" x14ac:dyDescent="0.25">
      <c r="B81" s="973" t="s">
        <v>943</v>
      </c>
      <c r="C81" s="1012" t="s">
        <v>944</v>
      </c>
      <c r="D81" s="1012" t="s">
        <v>916</v>
      </c>
      <c r="E81" s="1013">
        <v>2584</v>
      </c>
    </row>
    <row r="82" spans="2:5" s="1" customFormat="1" x14ac:dyDescent="0.25">
      <c r="B82" s="966" t="s">
        <v>945</v>
      </c>
      <c r="C82" s="978" t="s">
        <v>946</v>
      </c>
      <c r="D82" s="978" t="s">
        <v>916</v>
      </c>
      <c r="E82" s="993">
        <v>87</v>
      </c>
    </row>
    <row r="83" spans="2:5" s="1" customFormat="1" ht="15.75" thickBot="1" x14ac:dyDescent="0.3">
      <c r="B83" s="1005" t="s">
        <v>947</v>
      </c>
      <c r="C83" s="1007" t="s">
        <v>948</v>
      </c>
      <c r="D83" s="1007" t="s">
        <v>916</v>
      </c>
      <c r="E83" s="1008">
        <v>91</v>
      </c>
    </row>
  </sheetData>
  <sheetProtection algorithmName="SHA-512" hashValue="fGSrMaCnLjvgVWKl7O6o7hUIvwJDltQ5zqkwtp2sEgLGies7hmGAb927/1Br2xb4ld4RS03jvMbg+DU3EnzXYw==" saltValue="rb/GXD3KG0YdDuOHI8dwqxF4tlihpd3x9dMu4kmAk3vEDbOBTW8/tgZCjCZZKWe9vGIGdUCTOB5RUhACrWqTPg=="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9'!VAS078_D_Vandentiekiopr1</vt:lpstr>
      <vt:lpstr>VAS078_D_Vandentiekiopr1</vt:lpstr>
      <vt:lpstr>'Forma 9'!VAS078_D_Vandentiekiusk1</vt:lpstr>
      <vt:lpstr>VAS078_D_Vandentiekiusk1</vt:lpstr>
      <vt:lpstr>'Forma 9'!VAS078_D_Vandentiekyjel1</vt:lpstr>
      <vt:lpstr>VAS078_D_Vandentiekyjel1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9'!VAS078_F_Vandentiekyjel1AtaskaitinisLaikotarpis</vt:lpstr>
      <vt:lpstr>VAS078_F_Vandentiekyjel1AtaskaitinisLaikotarpis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VB</cp:lastModifiedBy>
  <dcterms:created xsi:type="dcterms:W3CDTF">2020-08-26T23:15:36Z</dcterms:created>
  <dcterms:modified xsi:type="dcterms:W3CDTF">2021-06-03T05:25:38Z</dcterms:modified>
</cp:coreProperties>
</file>